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60" windowHeight="748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<sst xmlns="http://schemas.openxmlformats.org/spreadsheetml/2006/main" count="3789" uniqueCount="2997">
  <si>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</si>
  <si>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</si>
  <si>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</si>
  <si>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</si>
  <si>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</si>
  <si>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</si>
  <si>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</si>
  <si>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</si>
  <si>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</si>
  <si>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</si>
  <si>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</si>
  <si>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</si>
  <si>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</si>
  <si>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</si>
  <si>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</si>
  <si>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</si>
  <si>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</si>
  <si>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</si>
  <si>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</si>
  <si>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</si>
  <si>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</si>
  <si>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</si>
  <si>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</si>
  <si>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</si>
  <si>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</si>
  <si>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</si>
  <si>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</si>
  <si>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</si>
  <si>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</si>
  <si>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</si>
  <si>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</si>
  <si>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</si>
  <si>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</si>
  <si>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</si>
  <si>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</si>
  <si>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</si>
  <si>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</si>
  <si>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</si>
  <si>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</si>
  <si>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</si>
  <si>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</si>
  <si>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</si>
  <si>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</si>
  <si>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</si>
  <si>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</si>
  <si>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</si>
  <si>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</si>
  <si>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</si>
  <si>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</si>
  <si>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</si>
  <si>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</si>
  <si>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</si>
  <si>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</si>
  <si>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</si>
  <si>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</si>
  <si>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</si>
  <si>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</si>
  <si>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</si>
  <si>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</si>
  <si>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</si>
  <si>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</si>
  <si>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</si>
  <si>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</si>
  <si>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</si>
  <si>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</si>
  <si>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</si>
  <si>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</si>
  <si>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</si>
  <si>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</si>
  <si>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</si>
  <si>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</si>
  <si>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</si>
  <si>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</si>
  <si>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</si>
  <si>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</si>
  <si>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</si>
  <si>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</si>
  <si>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</si>
  <si>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</si>
  <si>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</si>
  <si>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</si>
  <si>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</si>
  <si>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</si>
  <si>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</si>
  <si>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</si>
  <si>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</si>
  <si>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</si>
  <si>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</si>
  <si>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</si>
  <si>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</si>
  <si>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</si>
  <si>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</si>
  <si>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</si>
  <si>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</si>
  <si>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</si>
  <si>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</si>
  <si>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</si>
  <si>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</si>
  <si>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</si>
  <si>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</si>
  <si>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</si>
  <si>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</si>
  <si>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</si>
  <si>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</si>
  <si>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</si>
  <si>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</si>
  <si>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</si>
  <si>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</si>
  <si>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</si>
  <si>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</si>
  <si>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</si>
  <si>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</si>
  <si>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</si>
  <si>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</si>
  <si>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</si>
  <si>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</si>
  <si>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</si>
  <si>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</si>
  <si>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</si>
  <si>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</si>
  <si>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</si>
  <si>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</si>
  <si>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</si>
  <si>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</si>
  <si>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</si>
  <si>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</si>
  <si>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</si>
  <si>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</si>
  <si>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</si>
  <si>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</si>
  <si>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</si>
  <si>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</si>
  <si>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</si>
  <si>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</si>
  <si>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</si>
  <si>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</si>
  <si>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</si>
  <si>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</si>
  <si>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</si>
  <si>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</si>
  <si>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</si>
  <si>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</si>
  <si>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</si>
  <si>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</si>
  <si>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</si>
  <si>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</si>
  <si>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</si>
  <si>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</si>
  <si>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</si>
  <si>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</si>
  <si>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</si>
  <si>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</si>
  <si>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</si>
  <si>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</si>
  <si>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</si>
  <si>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</si>
  <si>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</si>
  <si>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</si>
  <si>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</si>
  <si>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</si>
  <si>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</si>
  <si>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</si>
  <si>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</si>
  <si>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</si>
  <si>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</si>
  <si>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</si>
  <si>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</si>
  <si>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</si>
  <si>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</si>
  <si>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</si>
  <si>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</si>
  <si>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</si>
  <si>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</si>
  <si>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</si>
  <si>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</si>
  <si>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</si>
  <si>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</si>
  <si>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</si>
  <si>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</si>
  <si>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</si>
  <si>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</si>
  <si>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</si>
  <si>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</si>
  <si>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</si>
  <si>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</si>
  <si>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</si>
  <si>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</si>
  <si>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</si>
  <si>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</si>
  <si>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</si>
  <si>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</si>
  <si>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</si>
  <si>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</si>
  <si>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</si>
  <si>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</si>
  <si>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</si>
  <si>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</si>
  <si>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</si>
  <si>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</si>
  <si>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</si>
  <si>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</si>
  <si>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</si>
  <si>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</si>
  <si>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</si>
  <si>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</si>
  <si>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</si>
  <si>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</si>
  <si>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</si>
  <si>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</si>
  <si>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</si>
  <si>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</si>
  <si>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</si>
  <si>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</si>
  <si>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</si>
  <si>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</si>
  <si>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</si>
  <si>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</si>
  <si>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</si>
  <si>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</si>
  <si>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</si>
  <si>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</si>
  <si>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</si>
  <si>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</si>
  <si>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</si>
  <si>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</si>
  <si>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</si>
  <si>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</si>
  <si>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</si>
  <si>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</si>
  <si>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</si>
  <si>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</si>
  <si>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</si>
  <si>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</si>
  <si>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</si>
  <si>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</si>
  <si>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</si>
  <si>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</si>
  <si>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</si>
  <si>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</si>
  <si>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</si>
  <si>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</si>
  <si>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</si>
  <si>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</si>
  <si>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</si>
  <si>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</si>
  <si>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</si>
  <si>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</si>
  <si>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</si>
  <si>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</si>
  <si>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</si>
  <si>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</si>
  <si>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</si>
  <si>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</si>
  <si>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</si>
  <si>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</si>
  <si>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</si>
  <si>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</si>
  <si>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</si>
  <si>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</si>
  <si>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</si>
  <si>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</si>
  <si>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</si>
  <si>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</si>
  <si>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</si>
  <si>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</si>
  <si>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</si>
  <si>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</si>
  <si>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</si>
  <si>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</si>
  <si>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</si>
  <si>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</si>
  <si>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</si>
  <si>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</si>
  <si>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</si>
  <si>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</si>
  <si>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</si>
  <si>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</si>
  <si>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</si>
  <si>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</si>
  <si>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</si>
  <si>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</si>
  <si>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</si>
  <si>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</si>
  <si>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</si>
  <si>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</si>
  <si>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</si>
  <si>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</si>
  <si>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</si>
  <si>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</si>
  <si>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</si>
  <si>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</si>
  <si>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</si>
  <si>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</si>
  <si>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</si>
  <si>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</si>
  <si>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</si>
  <si>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</si>
  <si>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</si>
  <si>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</si>
  <si>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</si>
  <si>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</si>
  <si>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</si>
  <si>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</si>
  <si>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</si>
  <si>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</si>
  <si>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</si>
  <si>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</si>
  <si>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</si>
  <si>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</si>
  <si>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</si>
  <si>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</si>
  <si>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</si>
  <si>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</si>
  <si>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</si>
  <si>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</si>
  <si>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</si>
  <si>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</si>
  <si>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</si>
  <si>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</si>
  <si>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</si>
  <si>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</si>
  <si>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</si>
  <si>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</si>
  <si>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</si>
  <si>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</si>
  <si>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</si>
  <si>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</si>
  <si>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</si>
  <si>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</si>
  <si>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</si>
  <si>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</si>
  <si>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</si>
  <si>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</si>
  <si>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</si>
  <si>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</si>
  <si>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</si>
  <si>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</si>
  <si>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</si>
  <si>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</si>
  <si>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</si>
  <si>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</si>
  <si>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</si>
  <si>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</si>
  <si>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</si>
  <si>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</si>
  <si>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</si>
  <si>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</si>
  <si>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</si>
  <si>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</si>
  <si>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</si>
  <si>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</si>
  <si>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</si>
  <si>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</si>
  <si>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</si>
  <si>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</si>
  <si>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</si>
  <si>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</si>
  <si>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</si>
  <si>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</si>
  <si>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</si>
  <si>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</si>
  <si>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</si>
  <si>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</si>
  <si>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</si>
  <si>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</si>
  <si>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</si>
  <si>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</si>
  <si>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</si>
  <si>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</si>
  <si>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</si>
  <si>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</si>
  <si>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</si>
  <si>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</si>
  <si>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</si>
  <si>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</si>
  <si>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</si>
  <si>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</si>
  <si>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</si>
  <si>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</si>
  <si>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</si>
  <si>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</si>
  <si>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</si>
  <si>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</si>
  <si>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</si>
  <si>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</si>
  <si>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</si>
  <si>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</si>
  <si>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</si>
  <si>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</si>
  <si>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</si>
  <si>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</si>
  <si>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</si>
  <si>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</si>
  <si>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</si>
  <si>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</si>
  <si>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</si>
  <si>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</si>
  <si>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</si>
  <si>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</si>
  <si>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</si>
  <si>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</si>
  <si>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</si>
  <si>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</si>
  <si>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</si>
  <si>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</si>
  <si>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</si>
  <si>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</si>
  <si>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</si>
  <si>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</si>
  <si>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</si>
  <si>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</si>
  <si>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</si>
  <si>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</si>
  <si>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</si>
  <si>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</si>
  <si>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</si>
  <si>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</si>
  <si>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</si>
  <si>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</si>
  <si>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</si>
  <si>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</si>
  <si>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</si>
  <si>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</si>
  <si>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</si>
  <si>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</si>
  <si>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</si>
  <si>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</si>
  <si>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</si>
  <si>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</si>
  <si>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</si>
  <si>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</si>
  <si>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</si>
  <si>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</si>
  <si>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</si>
  <si>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</si>
  <si>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</si>
  <si>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</si>
  <si>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</si>
  <si>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</si>
  <si>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</si>
  <si>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</si>
  <si>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</si>
  <si>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</si>
  <si>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</si>
  <si>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</si>
  <si>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</si>
  <si>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</si>
  <si>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</si>
  <si>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</si>
  <si>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</si>
  <si>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</si>
  <si>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</si>
  <si>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</si>
  <si>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</si>
  <si>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</si>
  <si>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</si>
  <si>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</si>
  <si>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</si>
  <si>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</si>
  <si>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</si>
  <si>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</si>
  <si>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</si>
  <si>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</si>
  <si>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</si>
  <si>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</si>
  <si>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</si>
  <si>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</si>
  <si>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</si>
  <si>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</si>
  <si>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</si>
  <si>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</si>
  <si>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</si>
  <si>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</si>
  <si>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</si>
  <si>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</si>
  <si>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</si>
  <si>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</si>
  <si>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</si>
  <si>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</si>
  <si>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</si>
  <si>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</si>
  <si>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</si>
  <si>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</si>
  <si>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</si>
  <si>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</si>
  <si>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</si>
  <si>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</si>
  <si>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</si>
  <si>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</si>
  <si>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</si>
  <si>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</si>
  <si>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</si>
  <si>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</si>
  <si>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</si>
  <si>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</si>
  <si>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</si>
  <si>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</si>
  <si>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</si>
  <si>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</si>
  <si>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</si>
  <si>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</si>
  <si>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</si>
  <si>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</si>
  <si>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</si>
  <si>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</si>
  <si>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</si>
  <si>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</si>
  <si>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</si>
  <si>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</si>
  <si>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</si>
  <si>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</si>
  <si>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</si>
  <si>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</si>
  <si>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</si>
  <si>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</si>
  <si>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</si>
  <si>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</si>
  <si>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</si>
  <si>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</si>
  <si>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</si>
  <si>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</si>
  <si>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</si>
  <si>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</si>
  <si>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</si>
  <si>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</si>
  <si>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</si>
  <si>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</si>
  <si>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</si>
  <si>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</si>
  <si>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</si>
  <si>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</si>
  <si>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</si>
  <si>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</si>
  <si>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</si>
  <si>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</si>
  <si>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</si>
  <si>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</si>
  <si>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</si>
  <si>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</si>
  <si>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</si>
  <si>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</si>
  <si>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</si>
  <si>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</si>
  <si>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</si>
  <si>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</si>
  <si>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</si>
  <si>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</si>
  <si>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</si>
  <si>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</si>
  <si>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</si>
  <si>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</si>
  <si>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</si>
  <si>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</si>
  <si>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</si>
  <si>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</si>
  <si>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</si>
  <si>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</si>
  <si>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</si>
  <si>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</si>
  <si>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</si>
  <si>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</si>
  <si>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</si>
  <si>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</si>
  <si>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</si>
  <si>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</si>
  <si>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</si>
  <si>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</si>
  <si>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</si>
  <si>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</si>
  <si>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</si>
  <si>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</si>
  <si>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</si>
  <si>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</si>
  <si>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</si>
  <si>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</si>
  <si>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</si>
  <si>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</si>
  <si>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</si>
  <si>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</si>
  <si>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</si>
  <si>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</si>
  <si>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</si>
  <si>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</si>
  <si>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</si>
  <si>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</si>
  <si>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</si>
  <si>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</si>
  <si>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</si>
  <si>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</si>
  <si>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</si>
  <si>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</si>
  <si>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</si>
  <si>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</si>
  <si>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</si>
  <si>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</si>
  <si>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</si>
  <si>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</si>
  <si>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</si>
  <si>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</si>
  <si>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</si>
  <si>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</si>
  <si>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</si>
  <si>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</si>
  <si>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</si>
  <si>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</si>
  <si>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</si>
  <si>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</si>
  <si>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</si>
  <si>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</si>
  <si>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</si>
  <si>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</si>
  <si>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</si>
  <si>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</si>
  <si>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</si>
  <si>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</si>
  <si>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</si>
  <si>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</si>
  <si>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</si>
  <si>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</si>
  <si>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</si>
  <si>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</si>
  <si>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</si>
  <si>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</si>
  <si>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</si>
  <si>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</si>
  <si>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</si>
  <si>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</si>
  <si>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</si>
  <si>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</si>
  <si>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</si>
  <si>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</si>
  <si>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</si>
  <si>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</si>
  <si>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</si>
  <si>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</si>
  <si>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</si>
  <si>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</si>
  <si>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</si>
  <si>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</si>
  <si>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</si>
  <si>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</si>
  <si>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</si>
  <si>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</si>
  <si>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</si>
  <si>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</si>
  <si>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</si>
  <si>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</si>
  <si>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</si>
  <si>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</si>
  <si>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</si>
  <si>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</si>
  <si>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</si>
  <si>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</si>
  <si>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</si>
  <si>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</si>
  <si>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</si>
  <si>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</si>
  <si>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</si>
  <si>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</si>
  <si>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</si>
  <si>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</si>
  <si>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</si>
  <si>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</si>
  <si>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</si>
  <si>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</si>
  <si>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</si>
  <si>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</si>
  <si>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</si>
  <si>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</si>
  <si>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</si>
  <si>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</si>
  <si>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</si>
  <si>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</si>
  <si>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</si>
  <si>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</si>
  <si>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</si>
  <si>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</si>
  <si>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</si>
  <si>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</si>
  <si>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</si>
  <si>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</si>
  <si>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</si>
  <si>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</si>
  <si>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</si>
  <si>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</si>
  <si>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</si>
  <si>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</si>
  <si>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</si>
  <si>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</si>
  <si>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</si>
  <si>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</si>
  <si>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</si>
  <si>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</si>
  <si>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</si>
  <si>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</si>
  <si>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</si>
  <si>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</si>
  <si>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</si>
  <si>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</si>
  <si>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</si>
  <si>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</si>
  <si>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</si>
  <si>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</si>
  <si>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</si>
  <si>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</si>
  <si>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</si>
  <si>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</si>
  <si>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</si>
  <si>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</si>
  <si>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</si>
  <si>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</si>
  <si>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</si>
  <si>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</si>
  <si>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</si>
  <si>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</si>
  <si>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</si>
  <si>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</si>
  <si>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</si>
  <si>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</si>
  <si>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</si>
  <si>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</si>
  <si>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</si>
  <si>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</si>
  <si>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</si>
  <si>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</si>
  <si>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</si>
  <si>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</si>
  <si>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</si>
  <si>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</si>
  <si>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</si>
  <si>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</si>
  <si>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</si>
  <si>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</si>
  <si>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</si>
  <si>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</si>
  <si>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</si>
  <si>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</si>
  <si>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</si>
  <si>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</si>
  <si>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</si>
  <si>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</si>
  <si>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</si>
  <si>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</si>
  <si>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</si>
  <si>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</si>
  <si>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</si>
  <si>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</si>
  <si>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</si>
  <si>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</si>
  <si>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</si>
  <si>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</si>
  <si>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</si>
  <si>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</si>
  <si>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</si>
  <si>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</si>
  <si>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</si>
  <si>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</si>
  <si>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</si>
  <si>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</si>
  <si>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</si>
  <si>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</si>
  <si>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</si>
  <si>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</si>
  <si>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</si>
  <si>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</si>
  <si>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</si>
  <si>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</si>
  <si>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</si>
  <si>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</si>
  <si>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</si>
  <si>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</si>
  <si>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</si>
  <si>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</si>
  <si>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</si>
  <si>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</si>
  <si>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</si>
  <si>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</si>
  <si>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</si>
  <si>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</si>
  <si>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</si>
  <si>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</si>
  <si>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</si>
  <si>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</si>
  <si>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</si>
  <si>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</si>
  <si>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</si>
  <si>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</si>
  <si>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</si>
  <si>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</si>
  <si>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</si>
  <si>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</si>
  <si>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</si>
  <si>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</si>
  <si>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</si>
  <si>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</si>
  <si>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</si>
  <si>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</si>
  <si>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</si>
  <si>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</si>
  <si>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</si>
  <si>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</si>
  <si>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</si>
  <si>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</si>
  <si>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</si>
  <si>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</si>
  <si>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</si>
  <si>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</si>
  <si>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</si>
  <si>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</si>
  <si>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</si>
  <si>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</si>
  <si>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</si>
  <si>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</si>
  <si>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</si>
  <si>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</si>
  <si>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</si>
  <si>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</si>
  <si>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</si>
  <si>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</si>
  <si>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</si>
  <si>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</si>
  <si>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</si>
  <si>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</si>
  <si>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</si>
  <si>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</si>
  <si>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</si>
  <si>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</si>
  <si>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</si>
  <si>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</si>
  <si>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</si>
  <si>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</si>
  <si>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</si>
  <si>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</si>
  <si>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</si>
  <si>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</si>
  <si>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</si>
  <si>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</si>
  <si>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</si>
  <si>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</si>
  <si>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</si>
  <si>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</si>
  <si>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</si>
  <si>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</si>
  <si>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</si>
  <si>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</si>
  <si>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</si>
  <si>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</si>
  <si>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</si>
  <si>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</si>
  <si>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</si>
  <si>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</si>
  <si>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</si>
  <si>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</si>
  <si>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</si>
  <si>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</si>
  <si>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</si>
  <si>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</si>
  <si>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</si>
  <si>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</si>
  <si>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</si>
  <si>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</si>
  <si>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</si>
  <si>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</si>
  <si>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</si>
  <si>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</si>
  <si>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</si>
  <si>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</si>
  <si>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</si>
  <si>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</si>
  <si>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</si>
  <si>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</si>
  <si>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</si>
  <si>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</si>
  <si>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</si>
  <si>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</si>
  <si>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</si>
  <si>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</si>
  <si>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</si>
  <si>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</si>
  <si>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</si>
  <si>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</si>
  <si>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</si>
  <si>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</si>
  <si>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</si>
  <si>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</si>
  <si>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</si>
  <si>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</si>
  <si>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</si>
  <si>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</si>
  <si>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</si>
  <si>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</si>
  <si>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</si>
  <si>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</si>
  <si>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</si>
  <si>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</si>
  <si>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</si>
  <si>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</si>
  <si>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</si>
  <si>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</si>
  <si>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</si>
  <si>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</si>
  <si>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</si>
  <si>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</si>
  <si>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</si>
  <si>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</si>
  <si>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</si>
  <si>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</si>
  <si>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</si>
  <si>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</si>
  <si>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</si>
  <si>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</si>
  <si>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</si>
  <si>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</si>
  <si>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</si>
  <si>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</si>
  <si>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</si>
  <si>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</si>
  <si>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</si>
  <si>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</si>
  <si>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</si>
  <si>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</si>
  <si>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</si>
  <si>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</si>
  <si>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</si>
  <si>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</si>
  <si>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</si>
  <si>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</si>
  <si>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</si>
  <si>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</si>
  <si>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</si>
  <si>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</si>
  <si>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</si>
  <si>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</si>
  <si>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</si>
  <si>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</si>
  <si>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</si>
  <si>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</si>
  <si>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</si>
  <si>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</si>
  <si>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</si>
  <si>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</si>
  <si>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</si>
  <si>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</si>
  <si>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</si>
  <si>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</si>
  <si>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</si>
  <si>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</si>
  <si>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</si>
  <si>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</si>
  <si>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</si>
  <si>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</si>
  <si>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</si>
  <si>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</si>
  <si>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</si>
  <si>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</si>
  <si>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</si>
  <si>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</si>
  <si>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</si>
  <si>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</si>
  <si>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</si>
  <si>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</si>
  <si>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</si>
  <si>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</si>
  <si>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</si>
  <si>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</si>
  <si>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</si>
  <si>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</si>
  <si>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</si>
  <si>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</si>
  <si>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</si>
  <si>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</si>
  <si>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</si>
  <si>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</si>
  <si>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</si>
  <si>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</si>
  <si>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</si>
  <si>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</si>
  <si>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</si>
  <si>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</si>
  <si>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</si>
  <si>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</si>
  <si>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</si>
  <si>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</si>
  <si>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</si>
  <si>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</si>
  <si>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</si>
  <si>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</si>
  <si>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</si>
  <si>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</si>
  <si>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</si>
  <si>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</si>
  <si>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</si>
  <si>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</si>
  <si>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</si>
  <si>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</si>
  <si>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</si>
  <si>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</si>
  <si>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</si>
  <si>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</si>
  <si>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</si>
  <si>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</si>
  <si>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</si>
  <si>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</si>
  <si>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</si>
  <si>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</si>
  <si>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</si>
  <si>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</si>
  <si>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</si>
  <si>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</si>
  <si>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</si>
  <si>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</si>
  <si>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</si>
  <si>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</si>
  <si>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</si>
  <si>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</si>
  <si>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</si>
  <si>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</si>
  <si>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</si>
  <si>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</si>
  <si>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</si>
  <si>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</si>
  <si>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</si>
  <si>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</si>
  <si>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</si>
  <si>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</si>
  <si>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</si>
  <si>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</si>
  <si>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</si>
  <si>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</si>
  <si>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</si>
  <si>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</si>
  <si>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</si>
  <si>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</si>
  <si>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</si>
  <si>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</si>
  <si>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</si>
  <si>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</si>
  <si>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</si>
  <si>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</si>
  <si>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</si>
  <si>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</si>
  <si>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</si>
  <si>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</si>
  <si>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</si>
  <si>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</si>
  <si>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</si>
  <si>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</si>
  <si>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</si>
  <si>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</si>
  <si>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</si>
  <si>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</si>
  <si>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</si>
  <si>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</si>
  <si>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</si>
  <si>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</si>
  <si>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</si>
  <si>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</si>
  <si>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</si>
  <si>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</si>
  <si>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</si>
  <si>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</si>
  <si>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</si>
  <si>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</si>
  <si>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</si>
  <si>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</si>
  <si>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</si>
  <si>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</si>
  <si>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</si>
  <si>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</si>
  <si>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</si>
  <si>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</si>
  <si>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</si>
  <si>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</si>
  <si>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</si>
  <si>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</si>
  <si>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</si>
  <si>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</si>
  <si>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</si>
  <si>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</si>
  <si>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</si>
  <si>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</si>
  <si>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</si>
  <si>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</si>
  <si>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</si>
  <si>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</si>
  <si>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</si>
  <si>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</si>
  <si>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</si>
  <si>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</si>
  <si>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</si>
  <si>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</si>
  <si>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</si>
  <si>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</si>
  <si>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</si>
  <si>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</si>
  <si>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</si>
  <si>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</si>
  <si>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</si>
  <si>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</si>
  <si>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</si>
  <si>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</si>
  <si>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</si>
  <si>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</si>
  <si>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</si>
  <si>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</si>
  <si>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</si>
  <si>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</si>
  <si>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</si>
  <si>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</si>
  <si>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</si>
  <si>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</si>
  <si>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</si>
  <si>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</si>
  <si>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</si>
  <si>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</si>
  <si>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</si>
  <si>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</si>
  <si>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</si>
  <si>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</si>
  <si>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</si>
  <si>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</si>
  <si>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</si>
  <si>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</si>
  <si>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</si>
  <si>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</si>
  <si>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</si>
  <si>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</si>
  <si>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</si>
  <si>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</si>
  <si>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</si>
  <si>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</si>
  <si>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</si>
  <si>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</si>
  <si>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</si>
  <si>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</si>
  <si>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</si>
  <si>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</si>
  <si>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</si>
  <si>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</si>
  <si>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</si>
  <si>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</si>
  <si>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</si>
  <si>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</si>
  <si>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</si>
  <si>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</si>
  <si>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</si>
  <si>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</si>
  <si>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</si>
  <si>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</si>
  <si>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</si>
  <si>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</si>
  <si>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</si>
  <si>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</si>
  <si>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</si>
  <si>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</si>
  <si>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</si>
  <si>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</si>
  <si>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</si>
  <si>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</si>
  <si>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</si>
  <si>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</si>
  <si>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</si>
  <si>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</si>
  <si>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</si>
  <si>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</si>
  <si>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</si>
  <si>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</si>
  <si>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</si>
  <si>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</si>
  <si>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</si>
  <si>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</si>
  <si>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</si>
  <si>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</si>
  <si>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</si>
  <si>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</si>
  <si>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</si>
  <si>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</si>
  <si>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</si>
  <si>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</si>
  <si>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</si>
  <si>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</si>
  <si>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</si>
  <si>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</si>
  <si>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</si>
  <si>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</si>
  <si>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</si>
  <si>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</si>
  <si>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</si>
  <si>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</si>
  <si>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</si>
  <si>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</si>
  <si>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</si>
  <si>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</si>
  <si>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</si>
  <si>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</si>
  <si>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</si>
  <si>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</si>
  <si>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</si>
  <si>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</si>
  <si>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</si>
  <si>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</si>
  <si>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</si>
  <si>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</si>
  <si>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</si>
  <si>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</si>
  <si>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</si>
  <si>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</si>
  <si>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</si>
  <si>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</si>
  <si>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</si>
  <si>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</si>
  <si>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</si>
  <si>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</si>
  <si>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</si>
  <si>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</si>
  <si>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</si>
  <si>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</si>
  <si>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</si>
  <si>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</si>
  <si>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</si>
  <si>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</si>
  <si>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</si>
  <si>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</si>
  <si>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</si>
  <si>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</si>
  <si>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</si>
  <si>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</si>
  <si>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</si>
  <si>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</si>
  <si>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</si>
  <si>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</si>
  <si>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</si>
  <si>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</si>
  <si>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</si>
  <si>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</si>
  <si>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</si>
  <si>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</si>
  <si>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</si>
  <si>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</si>
  <si>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</si>
  <si>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</si>
  <si>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</si>
  <si>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</si>
  <si>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</si>
  <si>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</si>
  <si>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</si>
  <si>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</si>
  <si>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</si>
  <si>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</si>
  <si>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</si>
  <si>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</si>
  <si>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</si>
  <si>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</si>
  <si>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</si>
  <si>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</si>
  <si>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</si>
  <si>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</si>
  <si>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</si>
  <si>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</si>
  <si>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</si>
  <si>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</si>
  <si>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</si>
  <si>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</si>
  <si>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</si>
  <si>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</si>
  <si>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</si>
  <si>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</si>
  <si>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</si>
  <si>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</si>
  <si>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</si>
  <si>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</si>
  <si>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</si>
  <si>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</si>
  <si>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</si>
  <si>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</si>
  <si>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</si>
  <si>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</si>
  <si>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</si>
  <si>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</si>
  <si>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</si>
  <si>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</si>
  <si>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</si>
  <si>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</si>
  <si>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</si>
  <si>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</si>
  <si>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</si>
  <si>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</si>
  <si>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</si>
  <si>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</si>
  <si>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</si>
  <si>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</si>
  <si>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</si>
  <si>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</si>
  <si>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</si>
  <si>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</si>
  <si>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</si>
  <si>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</si>
  <si>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</si>
  <si>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</si>
  <si>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</si>
  <si>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</si>
  <si>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</si>
  <si>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</si>
  <si>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</si>
  <si>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</si>
  <si>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</si>
  <si>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</si>
  <si>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</si>
  <si>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</si>
  <si>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</si>
  <si>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</si>
  <si>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</si>
  <si>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</si>
  <si>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</si>
  <si>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</si>
  <si>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</si>
  <si>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</si>
  <si>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</si>
  <si>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</si>
  <si>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</si>
  <si>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</si>
  <si>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</si>
  <si>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</si>
  <si>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</si>
  <si>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</si>
  <si>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</si>
  <si>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</si>
  <si>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</si>
  <si>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</si>
  <si>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</si>
  <si>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</si>
  <si>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</si>
  <si>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</si>
  <si>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</si>
  <si>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</si>
  <si>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</si>
  <si>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</si>
  <si>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</si>
  <si>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</si>
  <si>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</si>
  <si>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</si>
  <si>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</si>
  <si>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</si>
  <si>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</si>
  <si>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</si>
  <si>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</si>
  <si>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</si>
  <si>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</si>
  <si>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</si>
  <si>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</si>
  <si>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</si>
  <si>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</si>
  <si>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</si>
  <si>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</si>
  <si>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</si>
  <si>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</si>
  <si>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</si>
  <si>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</si>
  <si>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</si>
  <si>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</si>
  <si>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</si>
  <si>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</si>
  <si>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</si>
  <si>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</si>
  <si>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</si>
  <si>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</si>
  <si>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</si>
  <si>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</si>
  <si>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</si>
  <si>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</si>
  <si>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</si>
  <si>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</si>
  <si>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</si>
  <si>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</si>
  <si>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</si>
  <si>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</si>
  <si>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</si>
  <si>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</si>
  <si>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</si>
  <si>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</si>
  <si>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</si>
  <si>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</si>
  <si>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</si>
  <si>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</si>
  <si>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</si>
  <si>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</si>
  <si>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</si>
  <si>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</si>
  <si>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</si>
  <si>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</si>
  <si>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</si>
  <si>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</si>
  <si>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</si>
  <si>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</si>
  <si>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</si>
  <si>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</si>
  <si>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</si>
  <si>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</si>
  <si>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</si>
  <si>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</si>
  <si>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</si>
  <si>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</si>
  <si>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</si>
  <si>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</si>
  <si>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</si>
  <si>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</si>
  <si>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</si>
  <si>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</si>
  <si>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</si>
  <si>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</si>
  <si>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</si>
  <si>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</si>
  <si>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</si>
  <si>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</si>
  <si>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</si>
  <si>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</si>
  <si>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</si>
  <si>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</si>
  <si>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</si>
  <si>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</si>
  <si>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</si>
  <si>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</si>
  <si>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</si>
  <si>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</si>
  <si>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</si>
  <si>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</si>
  <si>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</si>
  <si>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</si>
  <si>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</si>
  <si>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</si>
  <si>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</si>
  <si>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</si>
  <si>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</si>
  <si>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</si>
  <si>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</si>
  <si>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</si>
  <si>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</si>
  <si>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</si>
  <si>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</si>
  <si>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</si>
  <si>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</si>
  <si>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</si>
  <si>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</si>
  <si>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</si>
  <si>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</si>
  <si>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</si>
  <si>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</si>
  <si>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</si>
  <si>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</si>
  <si>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</si>
  <si>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</si>
  <si>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</si>
  <si>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</si>
  <si>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</si>
  <si>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</si>
  <si>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</si>
  <si>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</si>
  <si>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</si>
  <si>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</si>
  <si>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</si>
  <si>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</si>
  <si>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</si>
  <si>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</si>
  <si>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</si>
  <si>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</si>
  <si>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</si>
  <si>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</si>
  <si>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</si>
  <si>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</si>
  <si>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</si>
  <si>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</si>
  <si>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</si>
  <si>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</si>
  <si>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</si>
  <si>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</si>
  <si>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</si>
  <si>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</si>
  <si>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</si>
  <si>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</si>
  <si>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</si>
  <si>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</si>
  <si>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</si>
  <si>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</si>
  <si>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</si>
  <si>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</si>
  <si>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</si>
  <si>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</si>
  <si>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</si>
  <si>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</si>
  <si>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</si>
  <si>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</si>
  <si>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</si>
  <si>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</si>
  <si>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</si>
  <si>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</si>
  <si>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</si>
  <si>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</si>
  <si>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</si>
  <si>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</si>
  <si>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</si>
  <si>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</si>
  <si>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</si>
  <si>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</si>
  <si>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</si>
  <si>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</si>
  <si>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</si>
  <si>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</si>
  <si>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</si>
  <si>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</si>
  <si>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</si>
  <si>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</si>
  <si>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</si>
  <si>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</si>
  <si>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</si>
  <si>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</si>
  <si>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</si>
  <si>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</si>
  <si>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</si>
  <si>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</si>
  <si>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</si>
  <si>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</si>
  <si>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</si>
  <si>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</si>
  <si>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</si>
  <si>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</si>
  <si>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</si>
  <si>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</si>
  <si>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</si>
  <si>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</si>
  <si>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</si>
  <si>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</si>
  <si>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</si>
  <si>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</si>
  <si>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</si>
  <si>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</si>
  <si>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</si>
  <si>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</si>
  <si>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</si>
  <si>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</si>
  <si>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</si>
  <si>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</si>
  <si>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</si>
  <si>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</si>
  <si>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</si>
  <si>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</si>
  <si>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</si>
  <si>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</si>
  <si>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</si>
  <si>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</si>
  <si>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</si>
  <si>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</si>
  <si>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</si>
  <si>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</si>
  <si>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</si>
  <si>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</si>
  <si>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</si>
  <si>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</si>
  <si>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</si>
  <si>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</si>
  <si>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</si>
  <si>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</si>
  <si>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</si>
  <si>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</si>
  <si>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</si>
  <si>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</si>
  <si>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</si>
  <si>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</si>
  <si>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</si>
  <si>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</si>
  <si>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</si>
  <si>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</si>
  <si>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</si>
  <si>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</si>
  <si>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</si>
  <si>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</si>
  <si>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</si>
  <si>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</si>
  <si>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</si>
  <si>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</si>
  <si>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</si>
  <si>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</si>
  <si>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</si>
  <si>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</si>
  <si>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</si>
  <si>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</si>
  <si>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</si>
  <si>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</si>
  <si>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</si>
  <si>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</si>
  <si>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</si>
  <si>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</si>
  <si>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</si>
  <si>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</si>
  <si>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</si>
  <si>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</si>
  <si>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</si>
  <si>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</si>
  <si>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</si>
  <si>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</si>
  <si>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</si>
  <si>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</si>
  <si>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</si>
  <si>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</si>
  <si>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</si>
  <si>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</si>
  <si>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</si>
  <si>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</si>
  <si>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</si>
  <si>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</si>
  <si>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</si>
  <si>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</si>
  <si>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</si>
  <si>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</si>
  <si>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</si>
  <si>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</si>
  <si>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</si>
  <si>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</si>
  <si>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</si>
  <si>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</si>
  <si>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</si>
  <si>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</si>
  <si>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</si>
  <si>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</si>
  <si>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</si>
  <si>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</si>
  <si>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</si>
  <si>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</si>
  <si>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</si>
  <si>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</si>
  <si>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</si>
  <si>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</si>
  <si>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</si>
  <si>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</si>
  <si>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</si>
  <si>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</si>
  <si>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</si>
  <si>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</si>
  <si>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</si>
  <si>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</si>
  <si>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</si>
  <si>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</si>
  <si>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</si>
  <si>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</si>
  <si>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</si>
  <si>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</si>
  <si>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</si>
  <si>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</si>
  <si>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</si>
  <si>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</si>
  <si>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</si>
  <si>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</si>
  <si>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</si>
  <si>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</si>
  <si>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</si>
  <si>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</si>
  <si>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</si>
  <si>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</si>
  <si>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</si>
  <si>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</si>
  <si>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</si>
  <si>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</si>
  <si>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</si>
  <si>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</si>
  <si>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</si>
  <si>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</si>
  <si>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</si>
  <si>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</si>
  <si>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</si>
  <si>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</si>
  <si>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</si>
  <si>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</si>
  <si>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</si>
  <si>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</si>
  <si>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</si>
  <si>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</si>
  <si>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</si>
  <si>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</si>
  <si>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</si>
  <si>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</si>
  <si>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</si>
  <si>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</si>
  <si>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</si>
  <si>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</si>
  <si>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</si>
  <si>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</si>
  <si>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</si>
  <si>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</si>
  <si>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</si>
  <si>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</si>
  <si>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</si>
  <si>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</si>
  <si>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</si>
  <si>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</si>
  <si>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</si>
  <si>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</si>
  <si>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</si>
  <si>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</si>
  <si>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</si>
  <si>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</si>
  <si>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</si>
  <si>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</si>
  <si>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</si>
  <si>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</si>
  <si>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</si>
  <si>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</si>
  <si>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</si>
  <si>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</si>
  <si>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</si>
  <si>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</si>
  <si>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</si>
  <si>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</si>
  <si>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</si>
  <si>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</si>
  <si>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</si>
  <si>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</si>
  <si>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</si>
  <si>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</si>
  <si>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</si>
  <si>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</si>
  <si>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</si>
  <si>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</si>
  <si>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</si>
  <si>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</si>
  <si>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</si>
  <si>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</si>
  <si>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</si>
  <si>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</si>
  <si>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</si>
  <si>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</si>
  <si>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</si>
  <si>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</si>
  <si>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</si>
  <si>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</si>
  <si>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</si>
  <si>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</si>
  <si>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</si>
  <si>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</si>
  <si>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</si>
  <si>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</si>
  <si>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</si>
  <si>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</si>
  <si>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</si>
  <si>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</si>
  <si>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</si>
  <si>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</si>
  <si>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</si>
  <si>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</si>
  <si>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</si>
  <si>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</si>
  <si>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</si>
  <si>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</si>
  <si>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</si>
  <si>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</si>
  <si>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</si>
  <si>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</si>
  <si>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</si>
  <si>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</si>
  <si>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</si>
  <si>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</si>
  <si>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</si>
  <si>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</si>
  <si>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</si>
  <si>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</si>
  <si>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</si>
  <si>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</si>
  <si>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</si>
  <si>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</si>
  <si>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</si>
  <si>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</si>
  <si>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</si>
  <si>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</si>
  <si>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</si>
  <si>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</si>
  <si>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</si>
  <si>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</si>
  <si>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</si>
  <si>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</si>
  <si>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</si>
  <si>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</si>
  <si>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</si>
  <si>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</si>
  <si>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</si>
  <si>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</si>
  <si>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</si>
  <si>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</si>
  <si>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</si>
  <si>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</si>
  <si>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</si>
  <si>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</si>
  <si>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</si>
  <si>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</si>
  <si>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</si>
  <si>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</si>
  <si>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</si>
  <si>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</si>
  <si>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</si>
  <si>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</si>
  <si>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</si>
  <si>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</si>
  <si>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</si>
  <si>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</si>
  <si>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</si>
  <si>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</si>
  <si>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</si>
  <si>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</si>
  <si>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</si>
  <si>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</si>
  <si>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</si>
  <si>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</si>
  <si>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</si>
  <si>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</si>
  <si>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</si>
  <si>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</si>
  <si>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</si>
  <si>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</si>
  <si>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</si>
  <si>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</si>
  <si>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</si>
  <si>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</si>
  <si>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</si>
  <si>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</si>
  <si>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</si>
  <si>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</si>
  <si>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</si>
  <si>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</si>
  <si>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</si>
  <si>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</si>
  <si>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</si>
  <si>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</si>
  <si>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</si>
  <si>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</si>
  <si>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</si>
  <si>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</si>
  <si>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</si>
  <si>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</si>
  <si>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</si>
  <si>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</si>
  <si>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</si>
  <si>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</si>
  <si>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</si>
  <si>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</si>
  <si>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</si>
  <si>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</si>
  <si>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</si>
  <si>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</si>
  <si>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</si>
  <si>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</si>
  <si>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</si>
  <si>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</si>
  <si>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</si>
  <si>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</si>
  <si>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</si>
  <si>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</si>
  <si>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</si>
  <si>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</si>
  <si>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</si>
  <si>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</si>
  <si>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</si>
  <si>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</si>
  <si>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</si>
  <si>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</si>
  <si>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</si>
  <si>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</si>
  <si>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</si>
  <si>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</si>
  <si>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</si>
  <si>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</si>
  <si>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</si>
  <si>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</si>
  <si>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</si>
  <si>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</si>
  <si>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</si>
  <si>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</si>
  <si>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</si>
  <si>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</si>
  <si>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</si>
  <si>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</si>
  <si>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</si>
  <si>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</si>
  <si>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</si>
  <si>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</si>
  <si>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</si>
  <si>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</si>
  <si>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</si>
  <si>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</si>
  <si>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</si>
  <si>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</si>
  <si>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</si>
  <si>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</si>
  <si>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</si>
  <si>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</si>
  <si>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</si>
  <si>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</si>
  <si>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</si>
  <si>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</si>
  <si>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</si>
  <si>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</si>
  <si>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</si>
  <si>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</si>
  <si>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</si>
  <si>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</si>
  <si>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</si>
  <si>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</si>
  <si>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</si>
  <si>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</si>
  <si>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</si>
  <si>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</si>
  <si>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</si>
  <si>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</si>
  <si>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</si>
  <si>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</si>
  <si>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</si>
  <si>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</si>
  <si>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</si>
  <si>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</si>
  <si>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</si>
  <si>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</si>
  <si>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</si>
  <si>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</si>
  <si>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</si>
  <si>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</si>
  <si>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</si>
  <si>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</si>
  <si>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</si>
  <si>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</si>
  <si>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</si>
  <si>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</si>
  <si>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</si>
  <si>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</si>
  <si>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</si>
  <si>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</si>
  <si>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</si>
  <si>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</si>
  <si>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</si>
  <si>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</si>
  <si>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</si>
  <si>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</si>
  <si>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</si>
  <si>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</si>
  <si>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</si>
  <si>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</si>
  <si>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</si>
  <si>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</si>
  <si>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</si>
  <si>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</si>
  <si>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</si>
  <si>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</si>
  <si>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</si>
  <si>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</si>
  <si>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</si>
  <si>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</si>
  <si>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</si>
  <si>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</si>
  <si>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</si>
  <si>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</si>
  <si>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</si>
  <si>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</si>
  <si>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</si>
  <si>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</si>
  <si>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</si>
  <si>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</si>
  <si>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</si>
  <si>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</si>
  <si>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</si>
  <si>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</si>
  <si>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</si>
  <si>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</si>
  <si>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</si>
  <si>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</si>
  <si>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</si>
  <si>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</si>
  <si>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</si>
  <si>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</si>
  <si>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</si>
  <si>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</si>
  <si>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</si>
  <si>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</si>
  <si>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</si>
  <si>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</si>
  <si>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</si>
  <si>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</si>
  <si>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</si>
  <si>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</si>
  <si>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</si>
  <si>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</si>
  <si>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</si>
  <si>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</si>
  <si>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</si>
  <si>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</si>
  <si>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</si>
  <si>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</si>
  <si>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</si>
  <si>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</si>
  <si>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</si>
  <si>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</si>
  <si>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</si>
  <si>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</si>
  <si>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</si>
  <si>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</si>
  <si>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</si>
  <si>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</si>
  <si>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</si>
  <si>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</si>
  <si>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</si>
  <si>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</si>
  <si>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</si>
  <si>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</si>
  <si>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</si>
  <si>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</si>
  <si>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</si>
  <si>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</si>
  <si>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</si>
  <si>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</si>
  <si>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</si>
  <si>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</si>
  <si>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</si>
  <si>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</si>
  <si>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</si>
  <si>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</si>
  <si>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</si>
  <si>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</si>
  <si>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</si>
  <si>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</si>
  <si>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</si>
  <si>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</si>
  <si>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</si>
  <si>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</si>
  <si>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</si>
  <si>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</si>
  <si>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</si>
  <si>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</si>
  <si>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</si>
  <si>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</si>
  <si>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</si>
  <si>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</si>
  <si>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</si>
  <si>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</si>
  <si>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</si>
  <si>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</si>
  <si>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</si>
  <si>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</si>
  <si>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</si>
  <si>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</si>
  <si>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</si>
  <si>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</si>
  <si>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</si>
  <si>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</si>
  <si>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</si>
  <si>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</si>
  <si>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</si>
  <si>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</si>
  <si>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</si>
  <si>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</si>
  <si>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</si>
  <si>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</si>
  <si>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</si>
  <si>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</si>
  <si>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</si>
  <si>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</si>
  <si>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</si>
  <si>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</si>
  <si>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</si>
  <si>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</si>
  <si>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</si>
  <si>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</si>
  <si>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</si>
  <si>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</si>
  <si>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</si>
  <si>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</si>
  <si>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</si>
  <si>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</si>
  <si>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</si>
  <si>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</si>
  <si>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</si>
  <si>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</si>
  <si>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</si>
  <si>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</si>
  <si>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</si>
  <si>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</si>
  <si>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</si>
  <si>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</si>
  <si>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</si>
  <si>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</si>
  <si>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</si>
  <si>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</si>
  <si>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</si>
  <si>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</si>
  <si>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</si>
  <si>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</si>
  <si>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</si>
  <si>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</si>
  <si>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</si>
  <si>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</si>
  <si>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</si>
  <si>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</si>
  <si>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</si>
  <si>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</si>
  <si>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</si>
  <si>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</si>
  <si>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</si>
  <si>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</si>
  <si>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</si>
  <si>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</si>
  <si>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</si>
  <si>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</si>
  <si>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</si>
  <si>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</si>
  <si>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</si>
  <si>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</si>
  <si>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</si>
  <si>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</si>
  <si>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</si>
  <si>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</si>
  <si>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</si>
  <si>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</si>
  <si>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</si>
  <si>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</si>
  <si>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</si>
  <si>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</si>
  <si>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</si>
  <si>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</si>
  <si>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</si>
  <si>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</si>
  <si>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</si>
  <si>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</si>
  <si>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</si>
  <si>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</si>
  <si>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</si>
  <si>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</si>
  <si>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</si>
  <si>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</si>
  <si>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</si>
  <si>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</si>
  <si>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</si>
  <si>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</si>
  <si>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</si>
  <si>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</si>
  <si>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</si>
  <si>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</si>
  <si>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</si>
  <si>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</si>
  <si>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</si>
  <si>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</si>
  <si>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</si>
  <si>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</si>
  <si>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</si>
  <si>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</si>
  <si>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</si>
  <si>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</si>
  <si>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</si>
  <si>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</si>
  <si>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</si>
  <si>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</si>
  <si>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</si>
  <si>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</si>
  <si>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</si>
  <si>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</si>
  <si>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</si>
  <si>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</si>
  <si>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</si>
  <si>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</si>
  <si>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</si>
  <si>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</si>
  <si>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</si>
  <si>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</si>
  <si>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</si>
  <si>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</si>
  <si>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</si>
  <si>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</si>
  <si>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</si>
  <si>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</si>
  <si>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</si>
  <si>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</si>
  <si>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</si>
  <si>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</si>
  <si>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</si>
  <si>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</si>
  <si>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</si>
  <si>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</si>
  <si>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</si>
  <si>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</si>
  <si>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</si>
  <si>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</si>
  <si>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</si>
  <si>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</si>
  <si>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</si>
  <si>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</si>
  <si>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</si>
  <si>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</si>
  <si>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</si>
  <si>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</si>
  <si>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</si>
  <si>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</si>
  <si>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</si>
  <si>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</si>
  <si>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</si>
  <si>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</si>
  <si>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</si>
  <si>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</si>
  <si>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</si>
  <si>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</si>
  <si>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</si>
  <si>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</si>
  <si>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</si>
  <si>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</si>
  <si>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</si>
  <si>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</si>
  <si>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</si>
  <si>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</si>
  <si>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</si>
  <si>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</si>
  <si>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</si>
  <si>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</si>
  <si>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</si>
  <si>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</si>
  <si>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</si>
  <si>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</si>
  <si>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</si>
  <si>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</si>
  <si>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</si>
  <si>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</si>
  <si>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</si>
  <si>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</si>
  <si>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</si>
  <si>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</si>
  <si>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</si>
  <si>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</si>
  <si>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</si>
  <si>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</si>
  <si>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</si>
  <si>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</si>
  <si>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</si>
  <si>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</si>
  <si>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</si>
  <si>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</si>
  <si>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</si>
  <si>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</si>
  <si>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</si>
  <si>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</si>
  <si>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</si>
  <si>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</si>
  <si>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</si>
  <si>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</si>
  <si>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</si>
  <si>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</si>
  <si>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</si>
  <si>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</si>
  <si>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</si>
  <si>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</si>
  <si>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</si>
  <si>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</si>
  <si>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</si>
  <si>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</si>
  <si>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</si>
  <si>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</si>
  <si>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</si>
  <si>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</si>
  <si>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</si>
  <si>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</si>
  <si>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</si>
  <si>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</si>
  <si>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</si>
  <si>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</si>
  <si>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</si>
  <si>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</si>
  <si>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</si>
  <si>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</si>
  <si>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</si>
  <si>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</si>
  <si>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</si>
  <si>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</si>
  <si>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</si>
  <si>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</si>
  <si>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</si>
  <si>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</si>
  <si>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</si>
  <si>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</si>
  <si>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</si>
  <si>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</si>
  <si>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</si>
  <si>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</si>
  <si>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</si>
  <si>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</si>
  <si>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</si>
  <si>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</si>
  <si>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</si>
  <si>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</si>
  <si>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</si>
  <si>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</si>
  <si>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</si>
  <si>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</si>
  <si>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</si>
  <si>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</si>
  <si>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</si>
  <si>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</si>
  <si>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</si>
  <si>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</si>
  <si>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</si>
  <si>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</si>
  <si>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</si>
  <si>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</si>
  <si>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</si>
  <si>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</si>
  <si>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</si>
  <si>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</si>
  <si>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</si>
  <si>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</si>
  <si>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</si>
  <si>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</si>
  <si>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</si>
  <si>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</si>
  <si>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</si>
  <si>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</si>
  <si>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</si>
  <si>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</si>
  <si>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</si>
  <si>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</si>
  <si>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</si>
  <si>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</si>
  <si>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</si>
  <si>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</si>
  <si>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</si>
  <si>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</si>
  <si>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</si>
  <si>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</si>
  <si>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</si>
  <si>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</si>
  <si>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</si>
  <si>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</si>
  <si>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</si>
  <si>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</si>
  <si>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</si>
  <si>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</si>
  <si>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</si>
  <si>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</si>
  <si>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</si>
  <si>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</si>
  <si>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</si>
  <si>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</si>
  <si>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</si>
  <si>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</si>
  <si>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</si>
  <si>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</si>
  <si>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</si>
  <si>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</si>
  <si>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</si>
  <si>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</si>
  <si>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</si>
  <si>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</si>
  <si>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</si>
  <si>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</si>
  <si>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</si>
  <si>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</si>
  <si>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</si>
  <si>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</si>
  <si>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</si>
  <si>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</si>
  <si>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</si>
  <si>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</si>
  <si>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</si>
  <si>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</si>
  <si>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</si>
  <si>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</si>
  <si>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</si>
  <si>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</si>
  <si>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</si>
  <si>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</si>
  <si>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</si>
  <si>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</si>
  <si>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</si>
  <si>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</si>
  <si>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</si>
  <si>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</si>
  <si>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</si>
  <si>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</si>
  <si>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</si>
  <si>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</si>
  <si>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</si>
  <si>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</si>
  <si>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</si>
  <si>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</si>
  <si>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</si>
  <si>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</si>
  <si>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</si>
  <si>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</si>
  <si>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</si>
  <si>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</si>
  <si>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</si>
  <si>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</si>
  <si>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</si>
  <si>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</si>
  <si>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</si>
  <si>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</si>
  <si>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</si>
  <si>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</si>
  <si>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</si>
  <si>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</si>
  <si>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</si>
  <si>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</si>
  <si>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</si>
  <si>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</si>
  <si>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</si>
  <si>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</si>
  <si>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</si>
  <si>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</si>
  <si>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</si>
  <si>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</si>
  <si>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</si>
  <si>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</si>
  <si>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</si>
  <si>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</si>
  <si>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</si>
  <si>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</si>
  <si>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</si>
  <si>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</si>
  <si>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</si>
  <si>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</si>
  <si>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</si>
  <si>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</si>
  <si>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</si>
  <si>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</si>
  <si>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</si>
  <si>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</si>
  <si>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</si>
  <si>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</si>
  <si>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</si>
  <si>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</si>
  <si>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</si>
  <si>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</si>
  <si>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</si>
  <si>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</si>
  <si>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</si>
  <si>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</si>
  <si>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</si>
  <si>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</si>
  <si>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</si>
  <si>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</si>
  <si>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</si>
  <si>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</si>
  <si>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</si>
  <si>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</si>
  <si>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</si>
  <si>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</si>
  <si>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</si>
  <si>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</si>
  <si>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</si>
  <si>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</si>
  <si>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</si>
  <si>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</si>
  <si>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</si>
  <si>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</si>
  <si>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</si>
  <si>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</si>
  <si>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</si>
  <si>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</si>
  <si>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</si>
  <si>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</si>
  <si>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</si>
  <si>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</si>
  <si>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</si>
  <si>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</si>
  <si>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</si>
  <si>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</si>
  <si>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</si>
  <si>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</si>
  <si>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</si>
  <si>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</si>
  <si>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</si>
  <si>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</si>
  <si>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</si>
  <si>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</si>
  <si>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</si>
  <si>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</si>
  <si>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</si>
  <si>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</si>
  <si>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</si>
  <si>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</si>
  <si>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</si>
  <si>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</si>
  <si>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</si>
  <si>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</si>
  <si>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</si>
  <si>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</si>
  <si>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</si>
  <si>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</si>
  <si>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</si>
  <si>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</si>
  <si>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</si>
  <si>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</si>
  <si>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</si>
  <si>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</si>
  <si>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</si>
  <si>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</si>
  <si>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</si>
  <si>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</si>
  <si>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</si>
  <si>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</si>
  <si>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</si>
  <si>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</si>
  <si>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</si>
  <si>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</si>
  <si>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</si>
  <si>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</si>
  <si>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</si>
  <si>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</si>
  <si>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</si>
  <si>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</si>
  <si>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</si>
  <si>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</si>
  <si>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</si>
  <si>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</si>
  <si>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</si>
  <si>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</si>
  <si>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</si>
  <si>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</si>
  <si>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</si>
  <si>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</si>
  <si>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</si>
  <si>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</si>
  <si>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</si>
  <si>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</si>
  <si>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</si>
  <si>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</si>
  <si>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</si>
  <si>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</si>
  <si>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</si>
  <si>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</si>
  <si>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</si>
  <si>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</si>
  <si>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</si>
  <si>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</si>
  <si>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</si>
  <si>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</si>
  <si>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</si>
  <si>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</si>
  <si>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</si>
  <si>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</si>
  <si>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</si>
  <si>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</si>
  <si>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</si>
  <si>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</si>
  <si>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</si>
  <si>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</si>
  <si>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</si>
  <si>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</si>
  <si>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</si>
  <si>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</si>
  <si>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</si>
  <si>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</si>
  <si>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</si>
  <si>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</si>
  <si>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</si>
  <si>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</si>
  <si>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</si>
  <si>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</si>
  <si>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</si>
  <si>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</si>
  <si>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</si>
  <si>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</si>
  <si>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</si>
  <si>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</si>
  <si>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</si>
  <si>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</si>
  <si>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</si>
  <si>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</si>
  <si>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</si>
  <si>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</si>
  <si>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</si>
  <si>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</si>
  <si>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</si>
  <si>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</si>
  <si>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</si>
  <si>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</si>
  <si>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</si>
  <si>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</si>
  <si>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</si>
  <si>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</si>
  <si>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</si>
  <si>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</si>
  <si>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</si>
  <si>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</si>
  <si>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</si>
  <si>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</si>
  <si>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</si>
  <si>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</si>
  <si>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</si>
  <si>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</si>
  <si>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</si>
  <si>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</si>
  <si>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</si>
  <si>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</si>
  <si>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</si>
  <si>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</si>
  <si>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</si>
  <si>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</si>
  <si>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</si>
  <si>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</si>
  <si>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</si>
  <si>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</si>
  <si>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</si>
  <si>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</si>
  <si>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</si>
  <si>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</si>
  <si>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</si>
  <si>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</si>
  <si>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</si>
  <si>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</si>
  <si>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</si>
  <si>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</si>
  <si>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</si>
  <si>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</si>
  <si>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</si>
  <si>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</si>
  <si>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</si>
  <si>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</si>
  <si>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</si>
  <si>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</si>
  <si>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</si>
  <si>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</si>
  <si>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</si>
  <si>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</si>
  <si>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</si>
  <si>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</si>
  <si>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</si>
  <si>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</si>
  <si>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</si>
  <si>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</si>
  <si>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</si>
  <si>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</si>
  <si>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</si>
  <si>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</si>
  <si>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</si>
  <si>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</si>
  <si>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</si>
  <si>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</si>
  <si>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</si>
  <si>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</si>
  <si>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</si>
  <si>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</si>
  <si>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</si>
  <si>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</si>
  <si>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</si>
  <si>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</si>
  <si>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</si>
  <si>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</si>
  <si>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</si>
  <si>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</si>
  <si>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</si>
  <si>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</si>
  <si>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</si>
  <si>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</si>
  <si>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</si>
  <si>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</si>
  <si>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</si>
  <si>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</si>
  <si>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</si>
  <si>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</si>
  <si>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</si>
  <si>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</si>
  <si>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</si>
  <si>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</si>
  <si>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</si>
  <si>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</si>
  <si>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</si>
  <si>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</si>
  <si>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</si>
  <si>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</si>
  <si>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</si>
  <si>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</si>
  <si>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</si>
  <si>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</si>
  <si>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</si>
  <si>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</si>
  <si>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</si>
  <si>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</si>
  <si>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</si>
  <si>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</si>
  <si>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</si>
  <si>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</si>
  <si>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</si>
  <si>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</si>
  <si>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</si>
  <si>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</si>
  <si>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</si>
  <si>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</si>
  <si>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</si>
  <si>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</si>
  <si>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</si>
  <si>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</si>
  <si>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</si>
  <si>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</si>
  <si>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</si>
  <si>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</si>
  <si>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</si>
  <si>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</si>
  <si>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</si>
  <si>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</si>
  <si>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</si>
  <si>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</si>
  <si>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</si>
  <si>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</si>
  <si>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</si>
  <si>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</si>
  <si>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</si>
  <si>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</si>
  <si>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</si>
  <si>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</si>
  <si>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</si>
  <si>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</si>
  <si>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</si>
  <si>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</si>
  <si>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</si>
  <si>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</si>
  <si>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</si>
  <si>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</si>
  <si>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</si>
  <si>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</si>
  <si>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</si>
  <si>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</si>
  <si>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</si>
  <si>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</si>
  <si>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</si>
  <si>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</si>
  <si>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</si>
  <si>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</si>
  <si>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</si>
  <si>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</si>
  <si>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</si>
  <si>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</si>
  <si>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</si>
  <si>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</si>
  <si>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</si>
  <si>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</si>
  <si>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</si>
  <si>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</si>
  <si>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</si>
  <si>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</si>
  <si>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</si>
  <si>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</si>
  <si>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</si>
  <si>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</si>
  <si>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</si>
  <si>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</si>
  <si>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</si>
  <si>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</si>
  <si>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</si>
  <si>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</si>
  <si>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</si>
  <si>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</si>
  <si>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</si>
  <si>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</si>
  <si>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</si>
  <si>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</si>
  <si>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</si>
  <si>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</si>
  <si>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</si>
  <si>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</si>
  <si>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</si>
  <si>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</si>
  <si>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</si>
  <si>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</si>
  <si>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</si>
  <si>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</si>
  <si>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</si>
  <si>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</si>
  <si>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</si>
  <si>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</si>
  <si>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</si>
  <si>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</si>
  <si>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</si>
  <si>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</si>
  <si>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</si>
  <si>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</si>
  <si>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</si>
  <si>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</si>
  <si>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</si>
  <si>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</si>
  <si>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</si>
  <si>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</si>
  <si>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</si>
  <si>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</si>
  <si>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</si>
  <si>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</si>
  <si>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</si>
  <si>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</si>
  <si>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</si>
  <si>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</si>
  <si>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</si>
  <si>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</si>
  <si>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</si>
  <si>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</si>
  <si>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</si>
  <si>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</si>
  <si>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</si>
  <si>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</si>
  <si>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</si>
  <si>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</si>
  <si>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</si>
  <si>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</si>
  <si>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</si>
  <si>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</si>
  <si>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</si>
  <si>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</si>
  <si>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</si>
  <si>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</si>
  <si>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</si>
  <si>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</si>
  <si>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</si>
  <si>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</si>
  <si>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</si>
  <si>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</si>
  <si>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</si>
  <si>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</si>
  <si>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</si>
  <si>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</si>
  <si>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</si>
  <si>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</si>
  <si>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</si>
  <si>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</si>
  <si>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</si>
  <si>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</si>
  <si>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</si>
  <si>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</si>
  <si>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</si>
  <si>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</si>
  <si>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</si>
  <si>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</si>
  <si>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</si>
  <si>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</si>
  <si>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</si>
  <si>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</si>
  <si>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</si>
  <si>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</si>
  <si>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</si>
  <si>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</si>
  <si>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</si>
  <si>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</si>
  <si>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</si>
  <si>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</si>
  <si>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</si>
  <si>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</si>
  <si>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</si>
  <si>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</si>
  <si>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</si>
  <si>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</si>
  <si>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</si>
  <si>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</si>
  <si>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</si>
  <si>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</si>
  <si>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</si>
  <si>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</si>
  <si>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</si>
  <si>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</si>
  <si>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</si>
  <si>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</si>
  <si>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</si>
  <si>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</si>
  <si>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</si>
  <si>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</si>
  <si>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</si>
  <si>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</si>
  <si>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</si>
  <si>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</si>
  <si>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</si>
  <si>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</si>
  <si>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</si>
  <si>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</si>
  <si>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</si>
  <si>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</si>
  <si>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</si>
  <si>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</si>
  <si>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</si>
  <si>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</si>
  <si>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</si>
  <si>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</si>
  <si>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</si>
  <si>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</si>
  <si>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</si>
  <si>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</si>
  <si>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</si>
  <si>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</si>
  <si>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</si>
  <si>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</si>
  <si>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</si>
  <si>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</si>
  <si>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</si>
  <si>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</si>
  <si>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</si>
  <si>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</si>
  <si>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</si>
  <si>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</si>
  <si>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</si>
  <si>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</si>
  <si>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</si>
  <si>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</si>
  <si>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</si>
  <si>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</si>
  <si>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</si>
  <si>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</si>
  <si>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</si>
  <si>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</si>
  <si>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</si>
  <si>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</si>
  <si>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</si>
  <si>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</si>
  <si>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</si>
  <si>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</si>
  <si>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</si>
  <si>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</si>
  <si>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</si>
  <si>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</si>
  <si>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</si>
  <si>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</si>
  <si>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</si>
  <si>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</si>
  <si>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</si>
  <si>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</si>
  <si>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</si>
  <si>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</si>
  <si>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</si>
  <si>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</si>
  <si>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</si>
  <si>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</si>
  <si>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</si>
  <si>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</si>
  <si>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</si>
  <si>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</si>
  <si>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</si>
  <si>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</si>
  <si>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</si>
  <si>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</si>
  <si>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</si>
  <si>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</si>
  <si>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</si>
  <si>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</si>
  <si>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</si>
  <si>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</si>
  <si>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</si>
  <si>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</si>
  <si>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</si>
  <si>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</si>
  <si>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</si>
  <si>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</si>
  <si>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</si>
  <si>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</si>
  <si>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</si>
  <si>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</si>
  <si>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</si>
  <si>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</si>
  <si>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</si>
  <si>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</si>
  <si>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</si>
  <si>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</si>
  <si>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</si>
  <si>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</si>
  <si>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</si>
  <si>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</si>
  <si>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</si>
  <si>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</si>
  <si>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</si>
  <si>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</si>
  <si>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</si>
  <si>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</si>
  <si>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</si>
  <si>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</si>
  <si>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</si>
  <si>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</si>
  <si>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</si>
  <si>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</si>
  <si>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</si>
  <si>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</si>
  <si>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</si>
  <si>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</si>
  <si>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</si>
  <si>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</si>
  <si>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</si>
  <si>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</si>
  <si>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</si>
  <si>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</si>
  <si>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</si>
  <si>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</si>
  <si>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</si>
  <si>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48188420009</t>
  </si>
  <si>
    <t>03361721</t>
  </si>
  <si>
    <t>030026579</t>
  </si>
  <si>
    <t>Zračna luka Osijek d.o.o.</t>
  </si>
  <si>
    <t>info@osijek-airport.hr</t>
  </si>
  <si>
    <t>031/514-402</t>
  </si>
  <si>
    <t>www.osijek-airport.hr</t>
  </si>
  <si>
    <t>Katarina Jelečević</t>
  </si>
  <si>
    <t>031/512-402</t>
  </si>
  <si>
    <t>katarina.jelecevic@osijek-airport.hr</t>
  </si>
  <si>
    <t>Kos Ivan</t>
  </si>
  <si>
    <t>MSFI</t>
  </si>
  <si>
    <t>19791532335</t>
  </si>
  <si>
    <t>Klisa</t>
  </si>
  <si>
    <t>Vukovarska ulica 67</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</si>
</sst>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00\ &quot;kn&quot;_-;\-* #,##0.00\ &quot;kn&quot;_-;_-* &quot;-&quot;??\ &quot;kn&quot;_-;_-@_-"/>
    <numFmt numFmtId="170" formatCode="_-* #,##0\ _k_n_-;\-* #,##0\ _k_n_-;_-* &quot;-&quot;\ _k_n_-;_-@_-"/>
    <numFmt numFmtId="171" formatCode="_-* #,##0.00\ _k_n_-;\-* #,##0.00\ _k_n_-;_-* &quot;-&quot;??\ _k_n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41A]d\.\ mmmm\ yyyy\."/>
    <numFmt numFmtId="202"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4"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75"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75"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75"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75"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75"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90" fontId="10" fillId="0" borderId="15" xfId="0" applyNumberFormat="1" applyFont="1" applyFill="1" applyBorder="1" applyAlignment="1">
      <alignment horizontal="center" vertical="center"/>
    </xf>
    <xf numFmtId="190"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53"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5465377.82</v>
      </c>
      <c r="I3" s="27">
        <f>ABS(ROUND(J3,0)-J3)+ABS(ROUND(K3,0)-K3)</f>
        <v>0</v>
      </c>
      <c r="J3" s="27">
        <f>Bilanca!I10</f>
        <v>90641481</v>
      </c>
      <c r="K3" s="27">
        <f>Bilanca!J10</f>
        <v>91313705</v>
      </c>
    </row>
    <row r="4" spans="1:11" ht="12.75">
      <c r="A4" s="4" t="s">
        <v>2697</v>
      </c>
      <c r="B4" s="25" t="s">
        <v>364</v>
      </c>
      <c r="D4" s="4" t="s">
        <v>554</v>
      </c>
      <c r="E4" s="4">
        <v>1</v>
      </c>
      <c r="F4" s="4">
        <f>Bilanca!G11</f>
        <v>3</v>
      </c>
      <c r="G4" s="4">
        <f>IF(Bilanca!H11=0,"",Bilanca!H11)</f>
      </c>
      <c r="H4" s="26">
        <f>J4/100*F4+2*K4/100*F4</f>
        <v>8308.470000000001</v>
      </c>
      <c r="I4" s="27">
        <f>ABS(ROUND(J4,0)-J4)+ABS(ROUND(K4,0)-K4)</f>
        <v>0</v>
      </c>
      <c r="J4" s="27">
        <f>Bilanca!I11</f>
        <v>117783</v>
      </c>
      <c r="K4" s="27">
        <f>Bilanca!J11</f>
        <v>79583</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03361721</v>
      </c>
      <c r="D6" s="4" t="s">
        <v>554</v>
      </c>
      <c r="E6" s="4">
        <v>1</v>
      </c>
      <c r="F6" s="4">
        <f>Bilanca!G13</f>
        <v>5</v>
      </c>
      <c r="G6" s="4">
        <f>IF(Bilanca!H13=0,"",Bilanca!H13)</f>
      </c>
      <c r="H6" s="26">
        <f aca="true" t="shared" si="0" ref="H6:H45">J6/100*F6+2*K6/100*F6</f>
        <v>13847.45</v>
      </c>
      <c r="I6" s="27">
        <f aca="true" t="shared" si="1" ref="I6:I45">ABS(ROUND(J6,0)-J6)+ABS(ROUND(K6,0)-K6)</f>
        <v>0</v>
      </c>
      <c r="J6" s="27">
        <f>Bilanca!I13</f>
        <v>117783</v>
      </c>
      <c r="K6" s="27">
        <f>Bilanca!J13</f>
        <v>79583</v>
      </c>
    </row>
    <row r="7" spans="1:11" ht="12.75">
      <c r="A7" s="4" t="s">
        <v>1561</v>
      </c>
      <c r="B7" s="25" t="str">
        <f>RefStr!M27</f>
        <v>030026579</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48188420009</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Zračna luka Osijek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31207</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Klisa</v>
      </c>
      <c r="D11" s="4" t="s">
        <v>554</v>
      </c>
      <c r="E11" s="4">
        <v>1</v>
      </c>
      <c r="F11" s="4">
        <f>Bilanca!G18</f>
        <v>10</v>
      </c>
      <c r="G11" s="4">
        <f>IF(Bilanca!H18=0,"",Bilanca!H18)</f>
      </c>
      <c r="H11" s="26">
        <f t="shared" si="0"/>
        <v>27278374.2</v>
      </c>
      <c r="I11" s="27">
        <f t="shared" si="1"/>
        <v>0</v>
      </c>
      <c r="J11" s="27">
        <f>Bilanca!I18</f>
        <v>90454298</v>
      </c>
      <c r="K11" s="27">
        <f>Bilanca!J18</f>
        <v>91164722</v>
      </c>
    </row>
    <row r="12" spans="1:11" ht="12.75">
      <c r="A12" s="4" t="s">
        <v>2738</v>
      </c>
      <c r="B12" s="25" t="str">
        <f>TRIM(RefStr!C33)</f>
        <v>Vukovarska ulica 67</v>
      </c>
      <c r="D12" s="4" t="s">
        <v>554</v>
      </c>
      <c r="E12" s="4">
        <v>1</v>
      </c>
      <c r="F12" s="4">
        <f>Bilanca!G19</f>
        <v>11</v>
      </c>
      <c r="G12" s="4">
        <f>IF(Bilanca!H19=0,"",Bilanca!H19)</f>
      </c>
      <c r="H12" s="26">
        <f t="shared" si="0"/>
        <v>5057028.57</v>
      </c>
      <c r="I12" s="27">
        <f t="shared" si="1"/>
        <v>0</v>
      </c>
      <c r="J12" s="27">
        <f>Bilanca!I19</f>
        <v>15324329</v>
      </c>
      <c r="K12" s="27">
        <f>Bilanca!J19</f>
        <v>15324329</v>
      </c>
    </row>
    <row r="13" spans="1:11" ht="12.75">
      <c r="A13" s="4" t="s">
        <v>2884</v>
      </c>
      <c r="B13" s="25" t="str">
        <f>TRIM(RefStr!C35)</f>
        <v>info@osijek-airport.hr</v>
      </c>
      <c r="D13" s="4" t="s">
        <v>554</v>
      </c>
      <c r="E13" s="4">
        <v>1</v>
      </c>
      <c r="F13" s="4">
        <f>Bilanca!G20</f>
        <v>12</v>
      </c>
      <c r="G13" s="4">
        <f>IF(Bilanca!H20=0,"",Bilanca!H20)</f>
      </c>
      <c r="H13" s="26">
        <f t="shared" si="0"/>
        <v>22824316.56</v>
      </c>
      <c r="I13" s="27">
        <f t="shared" si="1"/>
        <v>0</v>
      </c>
      <c r="J13" s="27">
        <f>Bilanca!I20</f>
        <v>64164024</v>
      </c>
      <c r="K13" s="27">
        <f>Bilanca!J20</f>
        <v>63019307</v>
      </c>
    </row>
    <row r="14" spans="1:11" ht="12.75">
      <c r="A14" s="4" t="s">
        <v>2885</v>
      </c>
      <c r="B14" s="25" t="str">
        <f>TRIM(RefStr!C37)</f>
        <v>www.osijek-airport.hr</v>
      </c>
      <c r="D14" s="4" t="s">
        <v>554</v>
      </c>
      <c r="E14" s="4">
        <v>1</v>
      </c>
      <c r="F14" s="4">
        <f>Bilanca!G21</f>
        <v>13</v>
      </c>
      <c r="G14" s="4">
        <f>IF(Bilanca!H21=0,"",Bilanca!H21)</f>
      </c>
      <c r="H14" s="26">
        <f t="shared" si="0"/>
        <v>1775840.69</v>
      </c>
      <c r="I14" s="27">
        <f t="shared" si="1"/>
        <v>0</v>
      </c>
      <c r="J14" s="27">
        <f>Bilanca!I21</f>
        <v>4857529</v>
      </c>
      <c r="K14" s="27">
        <f>Bilanca!J21</f>
        <v>4401392</v>
      </c>
    </row>
    <row r="15" spans="1:11" ht="12.75">
      <c r="A15" s="4" t="s">
        <v>2741</v>
      </c>
      <c r="B15" s="25" t="str">
        <f>TEXT(RefStr!J39,"00")</f>
        <v>14</v>
      </c>
      <c r="D15" s="4" t="s">
        <v>554</v>
      </c>
      <c r="E15" s="4">
        <v>1</v>
      </c>
      <c r="F15" s="4">
        <f>Bilanca!G22</f>
        <v>14</v>
      </c>
      <c r="G15" s="4">
        <f>IF(Bilanca!H22=0,"",Bilanca!H22)</f>
      </c>
      <c r="H15" s="26">
        <f t="shared" si="0"/>
        <v>1041163.34</v>
      </c>
      <c r="I15" s="27">
        <f t="shared" si="1"/>
        <v>0</v>
      </c>
      <c r="J15" s="27">
        <f>Bilanca!I22</f>
        <v>1507199</v>
      </c>
      <c r="K15" s="27">
        <f>Bilanca!J22</f>
        <v>2964841</v>
      </c>
    </row>
    <row r="16" spans="1:11" ht="12.75">
      <c r="A16" s="4" t="s">
        <v>2740</v>
      </c>
      <c r="B16" s="25" t="str">
        <f>TEXT(RefStr!C39,"000")</f>
        <v>312</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5223</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2584390.83</v>
      </c>
      <c r="I18" s="27">
        <f t="shared" si="1"/>
        <v>0</v>
      </c>
      <c r="J18" s="27">
        <f>Bilanca!I25</f>
        <v>4489755</v>
      </c>
      <c r="K18" s="27">
        <f>Bilanca!J25</f>
        <v>5356272</v>
      </c>
    </row>
    <row r="19" spans="1:11" ht="12.75">
      <c r="A19" s="4" t="s">
        <v>2887</v>
      </c>
      <c r="B19" s="25" t="str">
        <f>IF(RefStr!I21&lt;&gt;"",RefStr!I21,"")</f>
        <v>DA</v>
      </c>
      <c r="D19" s="4" t="s">
        <v>554</v>
      </c>
      <c r="E19" s="4">
        <v>1</v>
      </c>
      <c r="F19" s="4">
        <f>Bilanca!G26</f>
        <v>18</v>
      </c>
      <c r="G19" s="4">
        <f>IF(Bilanca!H26=0,"",Bilanca!H26)</f>
      </c>
      <c r="H19" s="26">
        <f t="shared" si="0"/>
        <v>55552.31999999999</v>
      </c>
      <c r="I19" s="27">
        <f t="shared" si="1"/>
        <v>0</v>
      </c>
      <c r="J19" s="27">
        <f>Bilanca!I26</f>
        <v>111462</v>
      </c>
      <c r="K19" s="27">
        <f>Bilanca!J26</f>
        <v>98581</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2</v>
      </c>
      <c r="D21" s="4" t="s">
        <v>554</v>
      </c>
      <c r="E21" s="4">
        <v>1</v>
      </c>
      <c r="F21" s="4">
        <f>Bilanca!G28</f>
        <v>20</v>
      </c>
      <c r="G21" s="4">
        <f>IF(Bilanca!H28=0,"",Bilanca!H28)</f>
      </c>
      <c r="H21" s="26">
        <f t="shared" si="0"/>
        <v>41640</v>
      </c>
      <c r="I21" s="27">
        <f t="shared" si="1"/>
        <v>0</v>
      </c>
      <c r="J21" s="27">
        <f>Bilanca!I28</f>
        <v>69400</v>
      </c>
      <c r="K21" s="27">
        <f>Bilanca!J28</f>
        <v>69400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57</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53</v>
      </c>
      <c r="D26" s="4" t="s">
        <v>554</v>
      </c>
      <c r="E26" s="4">
        <v>1</v>
      </c>
      <c r="F26" s="4">
        <f>Bilanca!G33</f>
        <v>25</v>
      </c>
      <c r="G26" s="4">
        <f>IF(Bilanca!H33=0,"",Bilanca!H33)</f>
      </c>
      <c r="H26" s="26">
        <f t="shared" si="0"/>
        <v>52050</v>
      </c>
      <c r="I26" s="27">
        <f t="shared" si="1"/>
        <v>0</v>
      </c>
      <c r="J26" s="27">
        <f>Bilanca!I33</f>
        <v>69400</v>
      </c>
      <c r="K26" s="27">
        <f>Bilanca!J33</f>
        <v>69400</v>
      </c>
    </row>
    <row r="27" spans="1:11" ht="12.75">
      <c r="A27" s="4" t="s">
        <v>2895</v>
      </c>
      <c r="B27" s="25">
        <f>RefStr!C58</f>
        <v>56</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51</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10100599.29</v>
      </c>
      <c r="I38" s="27">
        <f t="shared" si="1"/>
        <v>0</v>
      </c>
      <c r="J38" s="27">
        <f>Bilanca!I45</f>
        <v>7651305</v>
      </c>
      <c r="K38" s="27">
        <f>Bilanca!J45</f>
        <v>9823806</v>
      </c>
    </row>
    <row r="39" spans="1:11" ht="12.75">
      <c r="A39" s="4" t="s">
        <v>1611</v>
      </c>
      <c r="B39" s="25" t="str">
        <f>RefStr!C68</f>
        <v>Katarina Jelečević</v>
      </c>
      <c r="D39" s="4" t="s">
        <v>554</v>
      </c>
      <c r="E39" s="4">
        <v>1</v>
      </c>
      <c r="F39" s="4">
        <f>Bilanca!G46</f>
        <v>38</v>
      </c>
      <c r="G39" s="4">
        <f>IF(Bilanca!H46=0,"",Bilanca!H46)</f>
      </c>
      <c r="H39" s="26">
        <f t="shared" si="0"/>
        <v>196942.97999999998</v>
      </c>
      <c r="I39" s="27">
        <f t="shared" si="1"/>
        <v>0</v>
      </c>
      <c r="J39" s="27">
        <f>Bilanca!I46</f>
        <v>102429</v>
      </c>
      <c r="K39" s="27">
        <f>Bilanca!J46</f>
        <v>207921</v>
      </c>
    </row>
    <row r="40" spans="1:11" ht="12.75">
      <c r="A40" s="4" t="s">
        <v>1612</v>
      </c>
      <c r="B40" s="25" t="str">
        <f>TRIM(RefStr!C70)</f>
        <v>031/512-402</v>
      </c>
      <c r="D40" s="4" t="s">
        <v>554</v>
      </c>
      <c r="E40" s="4">
        <v>1</v>
      </c>
      <c r="F40" s="4">
        <f>Bilanca!G47</f>
        <v>39</v>
      </c>
      <c r="G40" s="4">
        <f>IF(Bilanca!H47=0,"",Bilanca!H47)</f>
      </c>
      <c r="H40" s="26">
        <f t="shared" si="0"/>
        <v>182186.55</v>
      </c>
      <c r="I40" s="27">
        <f t="shared" si="1"/>
        <v>0</v>
      </c>
      <c r="J40" s="27">
        <f>Bilanca!I47</f>
        <v>91841</v>
      </c>
      <c r="K40" s="27">
        <f>Bilanca!J47</f>
        <v>187652</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katarina.jelecevic@osijek-airport.hr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Kos Ivan</v>
      </c>
      <c r="D43" s="4" t="s">
        <v>554</v>
      </c>
      <c r="E43" s="4">
        <v>1</v>
      </c>
      <c r="F43" s="4">
        <f>Bilanca!G50</f>
        <v>42</v>
      </c>
      <c r="G43" s="4">
        <f>IF(Bilanca!H50=0,"",Bilanca!H50)</f>
      </c>
      <c r="H43" s="26">
        <f t="shared" si="0"/>
        <v>21472.92</v>
      </c>
      <c r="I43" s="27">
        <f t="shared" si="1"/>
        <v>0</v>
      </c>
      <c r="J43" s="27">
        <f>Bilanca!I50</f>
        <v>10588</v>
      </c>
      <c r="K43" s="27">
        <f>Bilanca!J50</f>
        <v>20269</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3540575.84</v>
      </c>
      <c r="I47" s="27">
        <f t="shared" si="3"/>
        <v>0</v>
      </c>
      <c r="J47" s="27">
        <f>Bilanca!I54</f>
        <v>2099112</v>
      </c>
      <c r="K47" s="27">
        <f>Bilanca!J54</f>
        <v>2798896</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DA</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1009252.51</v>
      </c>
      <c r="I50" s="27">
        <f t="shared" si="3"/>
        <v>0</v>
      </c>
      <c r="J50" s="27">
        <f>Bilanca!I57</f>
        <v>683645</v>
      </c>
      <c r="K50" s="27">
        <f>Bilanca!J57</f>
        <v>688027</v>
      </c>
    </row>
    <row r="51" spans="1:11" ht="12.75">
      <c r="A51" s="4" t="s">
        <v>1035</v>
      </c>
      <c r="B51" s="25" t="str">
        <f>RefStr!I60</f>
        <v>DA</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813242.4299999999</v>
      </c>
      <c r="I52" s="27">
        <f t="shared" si="3"/>
        <v>0</v>
      </c>
      <c r="J52" s="27">
        <f>Bilanca!I59</f>
        <v>341497</v>
      </c>
      <c r="K52" s="27">
        <f>Bilanca!J59</f>
        <v>626548</v>
      </c>
    </row>
    <row r="53" spans="1:11" ht="12.75">
      <c r="A53" s="4" t="s">
        <v>1301</v>
      </c>
      <c r="B53" s="25" t="str">
        <f>RefStr!I56</f>
        <v>DA</v>
      </c>
      <c r="D53" s="4" t="s">
        <v>554</v>
      </c>
      <c r="E53" s="4">
        <v>1</v>
      </c>
      <c r="F53" s="4">
        <f>Bilanca!G60</f>
        <v>52</v>
      </c>
      <c r="G53" s="4">
        <f>IF(Bilanca!H60=0,"",Bilanca!H60)</f>
      </c>
      <c r="H53" s="26">
        <f t="shared" si="2"/>
        <v>2102158.2399999998</v>
      </c>
      <c r="I53" s="27">
        <f t="shared" si="3"/>
        <v>0</v>
      </c>
      <c r="J53" s="27">
        <f>Bilanca!I60</f>
        <v>1073970</v>
      </c>
      <c r="K53" s="27">
        <f>Bilanca!J60</f>
        <v>1484321</v>
      </c>
    </row>
    <row r="54" spans="1:11" ht="12.75">
      <c r="A54" s="4" t="s">
        <v>1302</v>
      </c>
      <c r="B54" s="25" t="str">
        <f>RefStr!I62</f>
        <v>DA</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DA</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2488202288.7000003</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19791532335</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12022757.46</v>
      </c>
      <c r="I64" s="27">
        <f t="shared" si="3"/>
        <v>0</v>
      </c>
      <c r="J64" s="27">
        <f>Bilanca!I71</f>
        <v>5449764</v>
      </c>
      <c r="K64" s="27">
        <f>Bilanca!J71</f>
        <v>6816989</v>
      </c>
    </row>
    <row r="65" spans="1:11" ht="12.75">
      <c r="A65" s="4" t="s">
        <v>923</v>
      </c>
      <c r="B65" s="25" t="str">
        <f>TRIM(RefStr!N19)</f>
        <v>MSFI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195369075.2</v>
      </c>
      <c r="I66" s="27">
        <f t="shared" si="3"/>
        <v>0</v>
      </c>
      <c r="J66" s="27">
        <f>Bilanca!I73</f>
        <v>98292786</v>
      </c>
      <c r="K66" s="27">
        <f>Bilanca!J73</f>
        <v>101137511</v>
      </c>
    </row>
    <row r="67" spans="1:11" ht="12.75">
      <c r="A67" s="4" t="s">
        <v>925</v>
      </c>
      <c r="B67" s="25" t="str">
        <f>TRIM(RefStr!L35)</f>
        <v>031/514-402</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28123088.53</v>
      </c>
      <c r="I68" s="27">
        <f t="shared" si="3"/>
        <v>0</v>
      </c>
      <c r="J68" s="27">
        <f>Bilanca!I76</f>
        <v>13516427</v>
      </c>
      <c r="K68" s="27">
        <f>Bilanca!J76</f>
        <v>14229166</v>
      </c>
    </row>
    <row r="69" spans="1:11" ht="12.75">
      <c r="A69" s="4" t="s">
        <v>927</v>
      </c>
      <c r="B69" s="25">
        <f>TRIM(RefStr!M46)</f>
      </c>
      <c r="D69" s="4" t="s">
        <v>554</v>
      </c>
      <c r="E69" s="4">
        <v>1</v>
      </c>
      <c r="F69" s="4">
        <f>Bilanca!G77</f>
        <v>68</v>
      </c>
      <c r="G69" s="4">
        <f>IF(Bilanca!H77=0,"",Bilanca!H77)</f>
      </c>
      <c r="H69" s="26">
        <f t="shared" si="2"/>
        <v>53464320</v>
      </c>
      <c r="I69" s="27">
        <f t="shared" si="3"/>
        <v>0</v>
      </c>
      <c r="J69" s="27">
        <f>Bilanca!I77</f>
        <v>26208000</v>
      </c>
      <c r="K69" s="27">
        <f>Bilanca!J77</f>
        <v>26208000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-30738234.11</v>
      </c>
      <c r="I84" s="27">
        <f t="shared" si="3"/>
        <v>0</v>
      </c>
      <c r="J84" s="27">
        <f>Bilanca!I92</f>
        <v>-11650871</v>
      </c>
      <c r="K84" s="27">
        <f>Bilanca!J92</f>
        <v>-12691573</v>
      </c>
    </row>
    <row r="85" spans="4:11" ht="12.75">
      <c r="D85" s="4" t="s">
        <v>554</v>
      </c>
      <c r="E85" s="4">
        <v>1</v>
      </c>
      <c r="F85" s="4">
        <f>Bilanca!G93</f>
        <v>84</v>
      </c>
      <c r="G85" s="4">
        <f>IF(Bilanca!H93=0,"",Bilanca!H93)</f>
      </c>
      <c r="H85" s="26">
        <f t="shared" si="2"/>
        <v>0</v>
      </c>
      <c r="I85" s="27">
        <f t="shared" si="3"/>
        <v>0</v>
      </c>
      <c r="J85" s="27">
        <f>Bilanca!I93</f>
        <v>0</v>
      </c>
      <c r="K85" s="27">
        <f>Bilanca!J93</f>
        <v>0</v>
      </c>
    </row>
    <row r="86" spans="4:11" ht="12.75">
      <c r="D86" s="4" t="s">
        <v>554</v>
      </c>
      <c r="E86" s="4">
        <v>1</v>
      </c>
      <c r="F86" s="4">
        <f>Bilanca!G94</f>
        <v>85</v>
      </c>
      <c r="G86" s="4">
        <f>IF(Bilanca!H94=0,"",Bilanca!H94)</f>
      </c>
      <c r="H86" s="26">
        <f t="shared" si="2"/>
        <v>31478914.449999996</v>
      </c>
      <c r="I86" s="27">
        <f t="shared" si="3"/>
        <v>0</v>
      </c>
      <c r="J86" s="27">
        <f>Bilanca!I94</f>
        <v>11650871</v>
      </c>
      <c r="K86" s="27">
        <f>Bilanca!J94</f>
        <v>12691573</v>
      </c>
    </row>
    <row r="87" spans="4:11" ht="12.75">
      <c r="D87" s="4" t="s">
        <v>554</v>
      </c>
      <c r="E87" s="4">
        <v>1</v>
      </c>
      <c r="F87" s="4">
        <f>Bilanca!G95</f>
        <v>86</v>
      </c>
      <c r="G87" s="4">
        <f>IF(Bilanca!H95=0,"",Bilanca!H95)</f>
      </c>
      <c r="H87" s="26">
        <f>J87/100*F87+2*K87/100*F87</f>
        <v>330907.36</v>
      </c>
      <c r="I87" s="27">
        <f>ABS(ROUND(J87,0)-J87)+ABS(ROUND(K87,0)-K87)</f>
        <v>0</v>
      </c>
      <c r="J87" s="27">
        <f>Bilanca!I95</f>
        <v>-1040702</v>
      </c>
      <c r="K87" s="27">
        <f>Bilanca!J95</f>
        <v>712739</v>
      </c>
    </row>
    <row r="88" spans="4:11" ht="12.75">
      <c r="D88" s="4" t="s">
        <v>554</v>
      </c>
      <c r="E88" s="4">
        <v>1</v>
      </c>
      <c r="F88" s="4">
        <f>Bilanca!G96</f>
        <v>87</v>
      </c>
      <c r="G88" s="4">
        <f>IF(Bilanca!H96=0,"",Bilanca!H96)</f>
      </c>
      <c r="H88" s="26">
        <f>J88/100*F88+2*K88/100*F88</f>
        <v>1240165.86</v>
      </c>
      <c r="I88" s="27">
        <f>ABS(ROUND(J88,0)-J88)+ABS(ROUND(K88,0)-K88)</f>
        <v>0</v>
      </c>
      <c r="J88" s="27">
        <f>Bilanca!I96</f>
        <v>0</v>
      </c>
      <c r="K88" s="27">
        <f>Bilanca!J96</f>
        <v>712739</v>
      </c>
    </row>
    <row r="89" spans="4:11" ht="12.75">
      <c r="D89" s="4" t="s">
        <v>554</v>
      </c>
      <c r="E89" s="4">
        <v>1</v>
      </c>
      <c r="F89" s="4">
        <f>Bilanca!G97</f>
        <v>88</v>
      </c>
      <c r="G89" s="4">
        <f>IF(Bilanca!H97=0,"",Bilanca!H97)</f>
      </c>
      <c r="H89" s="26">
        <f aca="true" t="shared" si="4" ref="H89:H129">J89/100*F89+2*K89/100*F89</f>
        <v>915817.76</v>
      </c>
      <c r="I89" s="27">
        <f aca="true" t="shared" si="5" ref="I89:I129">ABS(ROUND(J89,0)-J89)+ABS(ROUND(K89,0)-K89)</f>
        <v>0</v>
      </c>
      <c r="J89" s="27">
        <f>Bilanca!I97</f>
        <v>1040702</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673317</v>
      </c>
      <c r="I91" s="27">
        <f t="shared" si="5"/>
        <v>0</v>
      </c>
      <c r="J91" s="27">
        <f>Bilanca!I99</f>
        <v>153812</v>
      </c>
      <c r="K91" s="27">
        <f>Bilanca!J99</f>
        <v>297159</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110214.3</v>
      </c>
      <c r="I94" s="27">
        <f t="shared" si="5"/>
        <v>0</v>
      </c>
      <c r="J94" s="27">
        <f>Bilanca!I102</f>
        <v>21500</v>
      </c>
      <c r="K94" s="27">
        <f>Bilanca!J102</f>
        <v>48505</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604435.2</v>
      </c>
      <c r="I97" s="27">
        <f t="shared" si="5"/>
        <v>0</v>
      </c>
      <c r="J97" s="27">
        <f>Bilanca!I105</f>
        <v>132312</v>
      </c>
      <c r="K97" s="27">
        <f>Bilanca!J105</f>
        <v>248654</v>
      </c>
    </row>
    <row r="98" spans="4:11" ht="12.75">
      <c r="D98" s="4" t="s">
        <v>554</v>
      </c>
      <c r="E98" s="4">
        <v>1</v>
      </c>
      <c r="F98" s="4">
        <f>Bilanca!G106</f>
        <v>97</v>
      </c>
      <c r="G98" s="4">
        <f>IF(Bilanca!H106=0,"",Bilanca!H106)</f>
      </c>
      <c r="H98" s="26">
        <f t="shared" si="4"/>
        <v>66064750.300000004</v>
      </c>
      <c r="I98" s="27">
        <f t="shared" si="5"/>
        <v>0</v>
      </c>
      <c r="J98" s="27">
        <f>Bilanca!I106</f>
        <v>22000000</v>
      </c>
      <c r="K98" s="27">
        <f>Bilanca!J106</f>
        <v>23053995</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70151229.7</v>
      </c>
      <c r="I104" s="27">
        <f t="shared" si="5"/>
        <v>0</v>
      </c>
      <c r="J104" s="27">
        <f>Bilanca!I112</f>
        <v>22000000</v>
      </c>
      <c r="K104" s="27">
        <f>Bilanca!J112</f>
        <v>23053995</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206813252.61</v>
      </c>
      <c r="I110" s="27">
        <f t="shared" si="5"/>
        <v>0</v>
      </c>
      <c r="J110" s="27">
        <f>Bilanca!I118</f>
        <v>62622547</v>
      </c>
      <c r="K110" s="27">
        <f>Bilanca!J118</f>
        <v>63557191</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1917168.45</v>
      </c>
      <c r="I116" s="27">
        <f t="shared" si="5"/>
        <v>0</v>
      </c>
      <c r="J116" s="27">
        <f>Bilanca!I124</f>
        <v>23137</v>
      </c>
      <c r="K116" s="27">
        <f>Bilanca!J124</f>
        <v>821983</v>
      </c>
    </row>
    <row r="117" spans="4:11" ht="12.75">
      <c r="D117" s="4" t="s">
        <v>554</v>
      </c>
      <c r="E117" s="4">
        <v>1</v>
      </c>
      <c r="F117" s="4">
        <f>Bilanca!G125</f>
        <v>116</v>
      </c>
      <c r="G117" s="4">
        <f>IF(Bilanca!H125=0,"",Bilanca!H125)</f>
      </c>
      <c r="H117" s="26">
        <f t="shared" si="4"/>
        <v>35224.56</v>
      </c>
      <c r="I117" s="27">
        <f t="shared" si="5"/>
        <v>0</v>
      </c>
      <c r="J117" s="27">
        <f>Bilanca!I125</f>
        <v>12248</v>
      </c>
      <c r="K117" s="27">
        <f>Bilanca!J125</f>
        <v>9059</v>
      </c>
    </row>
    <row r="118" spans="4:11" ht="12.75">
      <c r="D118" s="4" t="s">
        <v>554</v>
      </c>
      <c r="E118" s="4">
        <v>1</v>
      </c>
      <c r="F118" s="4">
        <f>Bilanca!G126</f>
        <v>117</v>
      </c>
      <c r="G118" s="4">
        <f>IF(Bilanca!H126=0,"",Bilanca!H126)</f>
      </c>
      <c r="H118" s="26">
        <f t="shared" si="4"/>
        <v>5768617.14</v>
      </c>
      <c r="I118" s="27">
        <f t="shared" si="5"/>
        <v>0</v>
      </c>
      <c r="J118" s="27">
        <f>Bilanca!I126</f>
        <v>1417064</v>
      </c>
      <c r="K118" s="27">
        <f>Bilanca!J126</f>
        <v>1756689</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1282397.55</v>
      </c>
      <c r="I120" s="27">
        <f t="shared" si="5"/>
        <v>0</v>
      </c>
      <c r="J120" s="27">
        <f>Bilanca!I128</f>
        <v>376197</v>
      </c>
      <c r="K120" s="27">
        <f>Bilanca!J128</f>
        <v>350724</v>
      </c>
    </row>
    <row r="121" spans="4:11" ht="12.75">
      <c r="D121" s="4" t="s">
        <v>554</v>
      </c>
      <c r="E121" s="4">
        <v>1</v>
      </c>
      <c r="F121" s="4">
        <f>Bilanca!G129</f>
        <v>120</v>
      </c>
      <c r="G121" s="4">
        <f>IF(Bilanca!H129=0,"",Bilanca!H129)</f>
      </c>
      <c r="H121" s="26">
        <f t="shared" si="4"/>
        <v>656362.8</v>
      </c>
      <c r="I121" s="27">
        <f t="shared" si="5"/>
        <v>0</v>
      </c>
      <c r="J121" s="27">
        <f>Bilanca!I129</f>
        <v>184165</v>
      </c>
      <c r="K121" s="27">
        <f>Bilanca!J129</f>
        <v>181402</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223225816.92</v>
      </c>
      <c r="I124" s="27">
        <f t="shared" si="5"/>
        <v>0</v>
      </c>
      <c r="J124" s="27">
        <f>Bilanca!I132</f>
        <v>60609736</v>
      </c>
      <c r="K124" s="27">
        <f>Bilanca!J132</f>
        <v>60437334</v>
      </c>
    </row>
    <row r="125" spans="4:11" ht="12.75">
      <c r="D125" s="4" t="s">
        <v>554</v>
      </c>
      <c r="E125" s="4">
        <v>1</v>
      </c>
      <c r="F125" s="4">
        <f>Bilanca!G133</f>
        <v>124</v>
      </c>
      <c r="G125" s="4">
        <f>IF(Bilanca!H133=0,"",Bilanca!H133)</f>
      </c>
      <c r="H125" s="26">
        <f t="shared" si="4"/>
        <v>0</v>
      </c>
      <c r="I125" s="27">
        <f t="shared" si="5"/>
        <v>0</v>
      </c>
      <c r="J125" s="27">
        <f>Bilanca!I133</f>
        <v>0</v>
      </c>
      <c r="K125" s="27">
        <f>Bilanca!J133</f>
        <v>0</v>
      </c>
    </row>
    <row r="126" spans="4:11" ht="12.75">
      <c r="D126" s="4" t="s">
        <v>554</v>
      </c>
      <c r="E126" s="4">
        <v>1</v>
      </c>
      <c r="F126" s="4">
        <f>Bilanca!G134</f>
        <v>125</v>
      </c>
      <c r="G126" s="4">
        <f>IF(Bilanca!H134=0,"",Bilanca!H134)</f>
      </c>
      <c r="H126" s="26">
        <f t="shared" si="4"/>
        <v>375709760</v>
      </c>
      <c r="I126" s="27">
        <f t="shared" si="5"/>
        <v>0</v>
      </c>
      <c r="J126" s="27">
        <f>Bilanca!I134</f>
        <v>98292786</v>
      </c>
      <c r="K126" s="27">
        <f>Bilanca!J134</f>
        <v>101137511</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50596925.730000004</v>
      </c>
      <c r="I128" s="4">
        <f t="shared" si="5"/>
        <v>0</v>
      </c>
      <c r="J128" s="27">
        <f>RDG!I8</f>
        <v>11895949</v>
      </c>
      <c r="K128" s="27">
        <f>RDG!J8</f>
        <v>13972075</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12110907</v>
      </c>
      <c r="I130" s="4">
        <f aca="true" t="shared" si="7" ref="I130:I192">ABS(ROUND(J130,0)-J130)+ABS(ROUND(K130,0)-K130)</f>
        <v>0</v>
      </c>
      <c r="J130" s="27">
        <f>RDG!I10</f>
        <v>2481258</v>
      </c>
      <c r="K130" s="27">
        <f>RDG!J10</f>
        <v>3453521</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40196374.68</v>
      </c>
      <c r="I133" s="4">
        <f t="shared" si="7"/>
        <v>0</v>
      </c>
      <c r="J133" s="27">
        <f>RDG!I13</f>
        <v>9414691</v>
      </c>
      <c r="K133" s="27">
        <f>RDG!J13</f>
        <v>10518554</v>
      </c>
    </row>
    <row r="134" spans="4:11" ht="12.75">
      <c r="D134" s="4" t="s">
        <v>794</v>
      </c>
      <c r="E134" s="4">
        <v>2</v>
      </c>
      <c r="F134" s="4">
        <f>RDG!G14</f>
        <v>133</v>
      </c>
      <c r="G134" s="4">
        <f>IF(RDG!H14=0,"",RDG!H14)</f>
      </c>
      <c r="H134" s="26">
        <f t="shared" si="6"/>
        <v>50634969.980000004</v>
      </c>
      <c r="I134" s="4">
        <f t="shared" si="7"/>
        <v>0</v>
      </c>
      <c r="J134" s="27">
        <f>RDG!I14</f>
        <v>12473874</v>
      </c>
      <c r="K134" s="27">
        <f>RDG!J14</f>
        <v>12798766</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12713930.1</v>
      </c>
      <c r="I136" s="4">
        <f t="shared" si="7"/>
        <v>0</v>
      </c>
      <c r="J136" s="27">
        <f>RDG!I16</f>
        <v>2819454</v>
      </c>
      <c r="K136" s="27">
        <f>RDG!J16</f>
        <v>3299136</v>
      </c>
    </row>
    <row r="137" spans="4:11" ht="12.75">
      <c r="D137" s="4" t="s">
        <v>794</v>
      </c>
      <c r="E137" s="4">
        <v>2</v>
      </c>
      <c r="F137" s="4">
        <f>RDG!G17</f>
        <v>136</v>
      </c>
      <c r="G137" s="4">
        <f>IF(RDG!H17=0,"",RDG!H17)</f>
      </c>
      <c r="H137" s="26">
        <f t="shared" si="6"/>
        <v>4037406.16</v>
      </c>
      <c r="I137" s="4">
        <f t="shared" si="7"/>
        <v>0</v>
      </c>
      <c r="J137" s="27">
        <f>RDG!I17</f>
        <v>972801</v>
      </c>
      <c r="K137" s="27">
        <f>RDG!J17</f>
        <v>997940</v>
      </c>
    </row>
    <row r="138" spans="4:11" ht="12.75">
      <c r="D138" s="4" t="s">
        <v>794</v>
      </c>
      <c r="E138" s="4">
        <v>2</v>
      </c>
      <c r="F138" s="4">
        <f>RDG!G18</f>
        <v>137</v>
      </c>
      <c r="G138" s="4">
        <f>IF(RDG!H18=0,"",RDG!H18)</f>
      </c>
      <c r="H138" s="26">
        <f t="shared" si="6"/>
        <v>208001.62</v>
      </c>
      <c r="I138" s="4">
        <f t="shared" si="7"/>
        <v>0</v>
      </c>
      <c r="J138" s="27">
        <f>RDG!I18</f>
        <v>24690</v>
      </c>
      <c r="K138" s="27">
        <f>RDG!J18</f>
        <v>63568</v>
      </c>
    </row>
    <row r="139" spans="4:11" ht="12.75">
      <c r="D139" s="4" t="s">
        <v>794</v>
      </c>
      <c r="E139" s="4">
        <v>2</v>
      </c>
      <c r="F139" s="4">
        <f>RDG!G19</f>
        <v>138</v>
      </c>
      <c r="G139" s="4">
        <f>IF(RDG!H19=0,"",RDG!H19)</f>
      </c>
      <c r="H139" s="26">
        <f t="shared" si="6"/>
        <v>8690162.219999999</v>
      </c>
      <c r="I139" s="4">
        <f t="shared" si="7"/>
        <v>0</v>
      </c>
      <c r="J139" s="27">
        <f>RDG!I19</f>
        <v>1821963</v>
      </c>
      <c r="K139" s="27">
        <f>RDG!J19</f>
        <v>2237628</v>
      </c>
    </row>
    <row r="140" spans="4:11" ht="12.75">
      <c r="D140" s="4" t="s">
        <v>794</v>
      </c>
      <c r="E140" s="4">
        <v>2</v>
      </c>
      <c r="F140" s="4">
        <f>RDG!G20</f>
        <v>139</v>
      </c>
      <c r="G140" s="4">
        <f>IF(RDG!H20=0,"",RDG!H20)</f>
      </c>
      <c r="H140" s="26">
        <f t="shared" si="6"/>
        <v>25469143.75</v>
      </c>
      <c r="I140" s="4">
        <f t="shared" si="7"/>
        <v>0</v>
      </c>
      <c r="J140" s="27">
        <f>RDG!I20</f>
        <v>6219865</v>
      </c>
      <c r="K140" s="27">
        <f>RDG!J20</f>
        <v>6051630</v>
      </c>
    </row>
    <row r="141" spans="4:11" ht="12.75">
      <c r="D141" s="4" t="s">
        <v>794</v>
      </c>
      <c r="E141" s="4">
        <v>2</v>
      </c>
      <c r="F141" s="4">
        <f>RDG!G21</f>
        <v>140</v>
      </c>
      <c r="G141" s="4">
        <f>IF(RDG!H21=0,"",RDG!H21)</f>
      </c>
      <c r="H141" s="26">
        <f t="shared" si="6"/>
        <v>16535086.4</v>
      </c>
      <c r="I141" s="4">
        <f t="shared" si="7"/>
        <v>0</v>
      </c>
      <c r="J141" s="27">
        <f>RDG!I21</f>
        <v>3990488</v>
      </c>
      <c r="K141" s="27">
        <f>RDG!J21</f>
        <v>3910144</v>
      </c>
    </row>
    <row r="142" spans="4:11" ht="12.75">
      <c r="D142" s="4" t="s">
        <v>794</v>
      </c>
      <c r="E142" s="4">
        <v>2</v>
      </c>
      <c r="F142" s="4">
        <f>RDG!G22</f>
        <v>141</v>
      </c>
      <c r="G142" s="4">
        <f>IF(RDG!H22=0,"",RDG!H22)</f>
      </c>
      <c r="H142" s="26">
        <f t="shared" si="6"/>
        <v>5787092.61</v>
      </c>
      <c r="I142" s="4">
        <f t="shared" si="7"/>
        <v>0</v>
      </c>
      <c r="J142" s="27">
        <f>RDG!I22</f>
        <v>1392983</v>
      </c>
      <c r="K142" s="27">
        <f>RDG!J22</f>
        <v>1355669</v>
      </c>
    </row>
    <row r="143" spans="4:11" ht="12.75">
      <c r="D143" s="4" t="s">
        <v>794</v>
      </c>
      <c r="E143" s="4">
        <v>2</v>
      </c>
      <c r="F143" s="4">
        <f>RDG!G23</f>
        <v>142</v>
      </c>
      <c r="G143" s="4">
        <f>IF(RDG!H23=0,"",RDG!H23)</f>
      </c>
      <c r="H143" s="26">
        <f t="shared" si="6"/>
        <v>3419399.76</v>
      </c>
      <c r="I143" s="4">
        <f t="shared" si="7"/>
        <v>0</v>
      </c>
      <c r="J143" s="27">
        <f>RDG!I23</f>
        <v>836394</v>
      </c>
      <c r="K143" s="27">
        <f>RDG!J23</f>
        <v>785817</v>
      </c>
    </row>
    <row r="144" spans="4:11" ht="12.75">
      <c r="D144" s="4" t="s">
        <v>794</v>
      </c>
      <c r="E144" s="4">
        <v>2</v>
      </c>
      <c r="F144" s="4">
        <f>RDG!G24</f>
        <v>143</v>
      </c>
      <c r="G144" s="4">
        <f>IF(RDG!H24=0,"",RDG!H24)</f>
      </c>
      <c r="H144" s="26">
        <f t="shared" si="6"/>
        <v>8422730.030000001</v>
      </c>
      <c r="I144" s="4">
        <f t="shared" si="7"/>
        <v>0</v>
      </c>
      <c r="J144" s="27">
        <f>RDG!I24</f>
        <v>1965731</v>
      </c>
      <c r="K144" s="27">
        <f>RDG!J24</f>
        <v>1962145</v>
      </c>
    </row>
    <row r="145" spans="4:11" ht="12.75">
      <c r="D145" s="4" t="s">
        <v>794</v>
      </c>
      <c r="E145" s="4">
        <v>2</v>
      </c>
      <c r="F145" s="4">
        <f>RDG!G25</f>
        <v>144</v>
      </c>
      <c r="G145" s="4">
        <f>IF(RDG!H25=0,"",RDG!H25)</f>
      </c>
      <c r="H145" s="26">
        <f t="shared" si="6"/>
        <v>5408339.04</v>
      </c>
      <c r="I145" s="4">
        <f t="shared" si="7"/>
        <v>0</v>
      </c>
      <c r="J145" s="27">
        <f>RDG!I25</f>
        <v>1113481</v>
      </c>
      <c r="K145" s="27">
        <f>RDG!J25</f>
        <v>1321155</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651948.88</v>
      </c>
      <c r="I149" s="4">
        <f t="shared" si="7"/>
        <v>0</v>
      </c>
      <c r="J149" s="27">
        <f>RDG!I29</f>
        <v>153812</v>
      </c>
      <c r="K149" s="27">
        <f>RDG!J29</f>
        <v>143347</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114020.1</v>
      </c>
      <c r="I152" s="4">
        <f t="shared" si="7"/>
        <v>0</v>
      </c>
      <c r="J152" s="27">
        <f>RDG!I32</f>
        <v>21500</v>
      </c>
      <c r="K152" s="27">
        <f>RDG!J32</f>
        <v>27005</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562093.8400000001</v>
      </c>
      <c r="I155" s="4">
        <f t="shared" si="7"/>
        <v>0</v>
      </c>
      <c r="J155" s="27">
        <f>RDG!I35</f>
        <v>132312</v>
      </c>
      <c r="K155" s="27">
        <f>RDG!J35</f>
        <v>116342</v>
      </c>
    </row>
    <row r="156" spans="4:11" ht="12.75">
      <c r="D156" s="4" t="s">
        <v>794</v>
      </c>
      <c r="E156" s="4">
        <v>2</v>
      </c>
      <c r="F156" s="4">
        <f>RDG!G36</f>
        <v>155</v>
      </c>
      <c r="G156" s="4">
        <f>IF(RDG!H36=0,"",RDG!H36)</f>
      </c>
      <c r="H156" s="26">
        <f t="shared" si="6"/>
        <v>378567.35</v>
      </c>
      <c r="I156" s="4">
        <f t="shared" si="7"/>
        <v>0</v>
      </c>
      <c r="J156" s="27">
        <f>RDG!I36</f>
        <v>201531</v>
      </c>
      <c r="K156" s="27">
        <f>RDG!J36</f>
        <v>21353</v>
      </c>
    </row>
    <row r="157" spans="4:11" ht="12.75">
      <c r="D157" s="4" t="s">
        <v>794</v>
      </c>
      <c r="E157" s="4">
        <v>2</v>
      </c>
      <c r="F157" s="4">
        <f>RDG!G37</f>
        <v>156</v>
      </c>
      <c r="G157" s="4">
        <f>IF(RDG!H37=0,"",RDG!H37)</f>
      </c>
      <c r="H157" s="26">
        <f t="shared" si="6"/>
        <v>116798.76</v>
      </c>
      <c r="I157" s="4">
        <f t="shared" si="7"/>
        <v>0</v>
      </c>
      <c r="J157" s="27">
        <f>RDG!I37</f>
        <v>27631</v>
      </c>
      <c r="K157" s="27">
        <f>RDG!J37</f>
        <v>23620</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24210.39</v>
      </c>
      <c r="I164" s="4">
        <f t="shared" si="7"/>
        <v>0</v>
      </c>
      <c r="J164" s="27">
        <f>RDG!I44</f>
        <v>593</v>
      </c>
      <c r="K164" s="27">
        <f>RDG!J44</f>
        <v>7130</v>
      </c>
    </row>
    <row r="165" spans="4:11" ht="12.75">
      <c r="D165" s="4" t="s">
        <v>794</v>
      </c>
      <c r="E165" s="4">
        <v>2</v>
      </c>
      <c r="F165" s="4">
        <f>RDG!G45</f>
        <v>164</v>
      </c>
      <c r="G165" s="4">
        <f>IF(RDG!H45=0,"",RDG!H45)</f>
      </c>
      <c r="H165" s="26">
        <f t="shared" si="6"/>
        <v>98429.52</v>
      </c>
      <c r="I165" s="4">
        <f t="shared" si="7"/>
        <v>0</v>
      </c>
      <c r="J165" s="27">
        <f>RDG!I45</f>
        <v>27038</v>
      </c>
      <c r="K165" s="27">
        <f>RDG!J45</f>
        <v>16490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2436175.96</v>
      </c>
      <c r="I168" s="4">
        <f t="shared" si="7"/>
        <v>0</v>
      </c>
      <c r="J168" s="27">
        <f>RDG!I48</f>
        <v>490408</v>
      </c>
      <c r="K168" s="27">
        <f>RDG!J48</f>
        <v>484190</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2366801.1999999997</v>
      </c>
      <c r="I171" s="4">
        <f t="shared" si="7"/>
        <v>0</v>
      </c>
      <c r="J171" s="27">
        <f>RDG!I51</f>
        <v>463022</v>
      </c>
      <c r="K171" s="27">
        <f>RDG!J51</f>
        <v>464607</v>
      </c>
    </row>
    <row r="172" spans="4:11" ht="12.75">
      <c r="D172" s="4" t="s">
        <v>794</v>
      </c>
      <c r="E172" s="4">
        <v>2</v>
      </c>
      <c r="F172" s="4">
        <f>RDG!G52</f>
        <v>171</v>
      </c>
      <c r="G172" s="4">
        <f>IF(RDG!H52=0,"",RDG!H52)</f>
      </c>
      <c r="H172" s="26">
        <f t="shared" si="6"/>
        <v>113803.92000000001</v>
      </c>
      <c r="I172" s="4">
        <f t="shared" si="7"/>
        <v>0</v>
      </c>
      <c r="J172" s="27">
        <f>RDG!I52</f>
        <v>27386</v>
      </c>
      <c r="K172" s="27">
        <f>RDG!J52</f>
        <v>19583</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71447796.3</v>
      </c>
      <c r="I180" s="4">
        <f t="shared" si="7"/>
        <v>0</v>
      </c>
      <c r="J180" s="27">
        <f>RDG!I60</f>
        <v>11923580</v>
      </c>
      <c r="K180" s="27">
        <f>RDG!J60</f>
        <v>13995695</v>
      </c>
    </row>
    <row r="181" spans="4:11" ht="12.75">
      <c r="D181" s="4" t="s">
        <v>794</v>
      </c>
      <c r="E181" s="4">
        <v>2</v>
      </c>
      <c r="F181" s="4">
        <f>RDG!G61</f>
        <v>180</v>
      </c>
      <c r="G181" s="4">
        <f>IF(RDG!H61=0,"",RDG!H61)</f>
      </c>
      <c r="H181" s="26">
        <f t="shared" si="6"/>
        <v>71154349.2</v>
      </c>
      <c r="I181" s="4">
        <f t="shared" si="7"/>
        <v>0</v>
      </c>
      <c r="J181" s="27">
        <f>RDG!I61</f>
        <v>12964282</v>
      </c>
      <c r="K181" s="27">
        <f>RDG!J61</f>
        <v>13282956</v>
      </c>
    </row>
    <row r="182" spans="4:11" ht="12.75">
      <c r="D182" s="4" t="s">
        <v>794</v>
      </c>
      <c r="E182" s="4">
        <v>2</v>
      </c>
      <c r="F182" s="4">
        <f>RDG!G62</f>
        <v>181</v>
      </c>
      <c r="G182" s="4">
        <f>IF(RDG!H62=0,"",RDG!H62)</f>
      </c>
      <c r="H182" s="26">
        <f t="shared" si="6"/>
        <v>696444.56</v>
      </c>
      <c r="I182" s="4">
        <f t="shared" si="7"/>
        <v>0</v>
      </c>
      <c r="J182" s="27">
        <f>RDG!I62</f>
        <v>-1040702</v>
      </c>
      <c r="K182" s="27">
        <f>RDG!J62</f>
        <v>712739</v>
      </c>
    </row>
    <row r="183" spans="4:11" ht="12.75">
      <c r="D183" s="4" t="s">
        <v>794</v>
      </c>
      <c r="E183" s="4">
        <v>2</v>
      </c>
      <c r="F183" s="4">
        <f>RDG!G63</f>
        <v>182</v>
      </c>
      <c r="G183" s="4">
        <f>IF(RDG!H63=0,"",RDG!H63)</f>
      </c>
      <c r="H183" s="26">
        <f t="shared" si="6"/>
        <v>2594369.96</v>
      </c>
      <c r="I183" s="4">
        <f t="shared" si="7"/>
        <v>0</v>
      </c>
      <c r="J183" s="27">
        <f>RDG!I63</f>
        <v>0</v>
      </c>
      <c r="K183" s="27">
        <f>RDG!J63</f>
        <v>712739</v>
      </c>
    </row>
    <row r="184" spans="4:11" ht="12.75">
      <c r="D184" s="4" t="s">
        <v>794</v>
      </c>
      <c r="E184" s="4">
        <v>2</v>
      </c>
      <c r="F184" s="4">
        <f>RDG!G64</f>
        <v>183</v>
      </c>
      <c r="G184" s="4">
        <f>IF(RDG!H64=0,"",RDG!H64)</f>
      </c>
      <c r="H184" s="26">
        <f t="shared" si="6"/>
        <v>1904484.6600000001</v>
      </c>
      <c r="I184" s="4">
        <f t="shared" si="7"/>
        <v>0</v>
      </c>
      <c r="J184" s="27">
        <f>RDG!I64</f>
        <v>1040702</v>
      </c>
      <c r="K184" s="27">
        <f>RDG!J64</f>
        <v>0</v>
      </c>
    </row>
    <row r="185" spans="4:11" ht="12.75">
      <c r="D185" s="4" t="s">
        <v>794</v>
      </c>
      <c r="E185" s="4">
        <v>2</v>
      </c>
      <c r="F185" s="4">
        <f>RDG!G65</f>
        <v>184</v>
      </c>
      <c r="G185" s="4">
        <f>IF(RDG!H65=0,"",RDG!H65)</f>
      </c>
      <c r="H185" s="26">
        <f t="shared" si="6"/>
        <v>0</v>
      </c>
      <c r="I185" s="4">
        <f t="shared" si="7"/>
        <v>0</v>
      </c>
      <c r="J185" s="27">
        <f>RDG!I65</f>
        <v>0</v>
      </c>
      <c r="K185" s="27">
        <f>RDG!J65</f>
        <v>0</v>
      </c>
    </row>
    <row r="186" spans="4:11" ht="12.75">
      <c r="D186" s="4" t="s">
        <v>794</v>
      </c>
      <c r="E186" s="4">
        <v>2</v>
      </c>
      <c r="F186" s="4">
        <f>RDG!G66</f>
        <v>185</v>
      </c>
      <c r="G186" s="4">
        <f>IF(RDG!H66=0,"",RDG!H66)</f>
      </c>
      <c r="H186" s="26">
        <f t="shared" si="6"/>
        <v>711835.6000000001</v>
      </c>
      <c r="I186" s="4">
        <f t="shared" si="7"/>
        <v>0</v>
      </c>
      <c r="J186" s="27">
        <f>RDG!I66</f>
        <v>-1040702</v>
      </c>
      <c r="K186" s="27">
        <f>RDG!J66</f>
        <v>712739</v>
      </c>
    </row>
    <row r="187" spans="4:11" ht="12.75">
      <c r="D187" s="4" t="s">
        <v>794</v>
      </c>
      <c r="E187" s="4">
        <v>2</v>
      </c>
      <c r="F187" s="4">
        <f>RDG!G67</f>
        <v>186</v>
      </c>
      <c r="G187" s="4">
        <f>IF(RDG!H67=0,"",RDG!H67)</f>
      </c>
      <c r="H187" s="26">
        <f t="shared" si="6"/>
        <v>2651389.08</v>
      </c>
      <c r="I187" s="4">
        <f t="shared" si="7"/>
        <v>0</v>
      </c>
      <c r="J187" s="27">
        <f>RDG!I67</f>
        <v>0</v>
      </c>
      <c r="K187" s="27">
        <f>RDG!J67</f>
        <v>712739</v>
      </c>
    </row>
    <row r="188" spans="4:11" ht="12.75">
      <c r="D188" s="4" t="s">
        <v>794</v>
      </c>
      <c r="E188" s="4">
        <v>2</v>
      </c>
      <c r="F188" s="4">
        <f>RDG!G68</f>
        <v>187</v>
      </c>
      <c r="G188" s="4">
        <f>IF(RDG!H68=0,"",RDG!H68)</f>
      </c>
      <c r="H188" s="26">
        <f t="shared" si="6"/>
        <v>1946112.74</v>
      </c>
      <c r="I188" s="4">
        <f t="shared" si="7"/>
        <v>0</v>
      </c>
      <c r="J188" s="27">
        <f>RDG!I68</f>
        <v>1040702</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784943.04</v>
      </c>
      <c r="I205" s="4">
        <f t="shared" si="9"/>
        <v>0</v>
      </c>
      <c r="J205" s="27">
        <f>RDG!I89</f>
        <v>-1040702</v>
      </c>
      <c r="K205" s="27">
        <f>RDG!J89</f>
        <v>712739</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861898.2400000002</v>
      </c>
      <c r="I225" s="4">
        <f t="shared" si="9"/>
        <v>0</v>
      </c>
      <c r="J225" s="27">
        <f>RDG!I109</f>
        <v>-1040702</v>
      </c>
      <c r="K225" s="27">
        <f>RDG!J109</f>
        <v>712739</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3847.76</v>
      </c>
      <c r="I299" s="4">
        <f t="shared" si="17"/>
        <v>0</v>
      </c>
      <c r="J299" s="27">
        <f>NT_I!I9</f>
        <v>-1040702</v>
      </c>
      <c r="K299" s="27">
        <f>NT_I!J9</f>
        <v>712739</v>
      </c>
    </row>
    <row r="300" spans="4:11" ht="12.75">
      <c r="D300" s="4" t="s">
        <v>556</v>
      </c>
      <c r="E300" s="4">
        <v>4</v>
      </c>
      <c r="F300" s="4">
        <f>NT_I!G10</f>
        <v>2</v>
      </c>
      <c r="G300" s="4">
        <f>IF(NT_I!H10&lt;&gt;"",NT_I!H10,"")</f>
      </c>
      <c r="H300" s="26">
        <f t="shared" si="16"/>
        <v>154088.88</v>
      </c>
      <c r="I300" s="4">
        <f t="shared" si="17"/>
        <v>0</v>
      </c>
      <c r="J300" s="27">
        <f>NT_I!I10</f>
        <v>2581972</v>
      </c>
      <c r="K300" s="27">
        <f>NT_I!J10</f>
        <v>2561236</v>
      </c>
    </row>
    <row r="301" spans="4:11" ht="12.75">
      <c r="D301" s="4" t="s">
        <v>556</v>
      </c>
      <c r="E301" s="4">
        <v>4</v>
      </c>
      <c r="F301" s="4">
        <f>NT_I!G11</f>
        <v>3</v>
      </c>
      <c r="G301" s="4">
        <f>IF(NT_I!H11&lt;&gt;"",NT_I!H11,"")</f>
      </c>
      <c r="H301" s="26">
        <f t="shared" si="16"/>
        <v>176700.63</v>
      </c>
      <c r="I301" s="4">
        <f t="shared" si="17"/>
        <v>0</v>
      </c>
      <c r="J301" s="27">
        <f>NT_I!I11</f>
        <v>1965731</v>
      </c>
      <c r="K301" s="27">
        <f>NT_I!J11</f>
        <v>1962145</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-891.0600000000001</v>
      </c>
      <c r="I304" s="4">
        <f t="shared" si="19"/>
        <v>0</v>
      </c>
      <c r="J304" s="27">
        <f>NT_I!I14</f>
        <v>-593</v>
      </c>
      <c r="K304" s="27">
        <f>NT_I!J14</f>
        <v>-7129</v>
      </c>
    </row>
    <row r="305" spans="4:11" ht="12.75">
      <c r="D305" s="4" t="s">
        <v>556</v>
      </c>
      <c r="E305" s="4">
        <v>4</v>
      </c>
      <c r="F305" s="4">
        <f>NT_I!G15</f>
        <v>7</v>
      </c>
      <c r="G305" s="4">
        <f>IF(NT_I!H15&lt;&gt;"",NT_I!H15,"")</f>
      </c>
      <c r="H305" s="26">
        <f t="shared" si="18"/>
        <v>97456.51999999999</v>
      </c>
      <c r="I305" s="4">
        <f t="shared" si="19"/>
        <v>0</v>
      </c>
      <c r="J305" s="27">
        <f>NT_I!I15</f>
        <v>463022</v>
      </c>
      <c r="K305" s="27">
        <f>NT_I!J15</f>
        <v>464607</v>
      </c>
    </row>
    <row r="306" spans="4:11" ht="12.75">
      <c r="D306" s="4" t="s">
        <v>556</v>
      </c>
      <c r="E306" s="4">
        <v>4</v>
      </c>
      <c r="F306" s="4">
        <f>NT_I!G16</f>
        <v>8</v>
      </c>
      <c r="G306" s="4">
        <f>IF(NT_I!H16&lt;&gt;"",NT_I!H16,"")</f>
      </c>
      <c r="H306" s="26">
        <f t="shared" si="18"/>
        <v>35240.479999999996</v>
      </c>
      <c r="I306" s="4">
        <f t="shared" si="19"/>
        <v>0</v>
      </c>
      <c r="J306" s="27">
        <f>NT_I!I16</f>
        <v>153812</v>
      </c>
      <c r="K306" s="27">
        <f>NT_I!J16</f>
        <v>143347</v>
      </c>
    </row>
    <row r="307" spans="4:11" ht="12.75">
      <c r="D307" s="4" t="s">
        <v>556</v>
      </c>
      <c r="E307" s="4">
        <v>4</v>
      </c>
      <c r="F307" s="4">
        <f>NT_I!G17</f>
        <v>9</v>
      </c>
      <c r="G307" s="4">
        <f>IF(NT_I!H17&lt;&gt;"",NT_I!H17,"")</f>
      </c>
      <c r="H307" s="26">
        <f t="shared" si="18"/>
        <v>-312.12</v>
      </c>
      <c r="I307" s="4">
        <f t="shared" si="19"/>
        <v>0</v>
      </c>
      <c r="J307" s="27">
        <f>NT_I!I17</f>
        <v>0</v>
      </c>
      <c r="K307" s="27">
        <f>NT_I!J17</f>
        <v>-1734</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889814.2</v>
      </c>
      <c r="I309" s="4">
        <f t="shared" si="19"/>
        <v>0</v>
      </c>
      <c r="J309" s="27">
        <f>NT_I!I19</f>
        <v>1541270</v>
      </c>
      <c r="K309" s="27">
        <f>NT_I!J19</f>
        <v>3273975</v>
      </c>
    </row>
    <row r="310" spans="4:11" ht="12.75">
      <c r="D310" s="4" t="s">
        <v>556</v>
      </c>
      <c r="E310" s="4">
        <v>4</v>
      </c>
      <c r="F310" s="4">
        <f>NT_I!G20</f>
        <v>12</v>
      </c>
      <c r="G310" s="4">
        <f>IF(NT_I!H20&lt;&gt;"",NT_I!H20,"")</f>
      </c>
      <c r="H310" s="26">
        <f t="shared" si="18"/>
        <v>192352.2</v>
      </c>
      <c r="I310" s="4">
        <f t="shared" si="19"/>
        <v>0</v>
      </c>
      <c r="J310" s="27">
        <f>NT_I!I20</f>
        <v>-647687</v>
      </c>
      <c r="K310" s="27">
        <f>NT_I!J20</f>
        <v>1125311</v>
      </c>
    </row>
    <row r="311" spans="4:11" ht="12.75">
      <c r="D311" s="4" t="s">
        <v>556</v>
      </c>
      <c r="E311" s="4">
        <v>4</v>
      </c>
      <c r="F311" s="4">
        <f>NT_I!G21</f>
        <v>13</v>
      </c>
      <c r="G311" s="4">
        <f>IF(NT_I!H21&lt;&gt;"",NT_I!H21,"")</f>
      </c>
      <c r="H311" s="26">
        <f t="shared" si="18"/>
        <v>419329.43000000005</v>
      </c>
      <c r="I311" s="4">
        <f t="shared" si="19"/>
        <v>0</v>
      </c>
      <c r="J311" s="27">
        <f>NT_I!I21</f>
        <v>-645955</v>
      </c>
      <c r="K311" s="27">
        <f>NT_I!J21</f>
        <v>1935783</v>
      </c>
    </row>
    <row r="312" spans="4:11" ht="12.75">
      <c r="D312" s="4" t="s">
        <v>556</v>
      </c>
      <c r="E312" s="4">
        <v>4</v>
      </c>
      <c r="F312" s="4">
        <f>NT_I!G22</f>
        <v>14</v>
      </c>
      <c r="G312" s="4">
        <f>IF(NT_I!H22&lt;&gt;"",NT_I!H22,"")</f>
      </c>
      <c r="H312" s="26">
        <f t="shared" si="18"/>
        <v>-175588.84</v>
      </c>
      <c r="I312" s="4">
        <f t="shared" si="19"/>
        <v>0</v>
      </c>
      <c r="J312" s="27">
        <f>NT_I!I22</f>
        <v>141894</v>
      </c>
      <c r="K312" s="27">
        <f>NT_I!J22</f>
        <v>-698050</v>
      </c>
    </row>
    <row r="313" spans="4:11" ht="12.75">
      <c r="D313" s="4" t="s">
        <v>556</v>
      </c>
      <c r="E313" s="4">
        <v>4</v>
      </c>
      <c r="F313" s="4">
        <f>NT_I!G23</f>
        <v>15</v>
      </c>
      <c r="G313" s="4">
        <f>IF(NT_I!H23&lt;&gt;"",NT_I!H23,"")</f>
      </c>
      <c r="H313" s="26">
        <f t="shared" si="18"/>
        <v>-29603.100000000002</v>
      </c>
      <c r="I313" s="4">
        <f t="shared" si="19"/>
        <v>0</v>
      </c>
      <c r="J313" s="27">
        <f>NT_I!I23</f>
        <v>13630</v>
      </c>
      <c r="K313" s="27">
        <f>NT_I!J23</f>
        <v>-105492</v>
      </c>
    </row>
    <row r="314" spans="4:11" ht="12.75">
      <c r="D314" s="4" t="s">
        <v>556</v>
      </c>
      <c r="E314" s="4">
        <v>4</v>
      </c>
      <c r="F314" s="4">
        <f>NT_I!G24</f>
        <v>16</v>
      </c>
      <c r="G314" s="4">
        <f>IF(NT_I!H24&lt;&gt;"",NT_I!H24,"")</f>
      </c>
      <c r="H314" s="26">
        <f t="shared" si="18"/>
        <v>-27378.559999999998</v>
      </c>
      <c r="I314" s="4">
        <f t="shared" si="19"/>
        <v>0</v>
      </c>
      <c r="J314" s="27">
        <f>NT_I!I24</f>
        <v>-157256</v>
      </c>
      <c r="K314" s="27">
        <f>NT_I!J24</f>
        <v>-6930</v>
      </c>
    </row>
    <row r="315" spans="4:11" ht="12.75">
      <c r="D315" s="4" t="s">
        <v>556</v>
      </c>
      <c r="E315" s="4">
        <v>4</v>
      </c>
      <c r="F315" s="4">
        <f>NT_I!G25</f>
        <v>17</v>
      </c>
      <c r="G315" s="4">
        <f>IF(NT_I!H25&lt;&gt;"",NT_I!H25,"")</f>
      </c>
      <c r="H315" s="26">
        <f t="shared" si="18"/>
        <v>1647666.35</v>
      </c>
      <c r="I315" s="4">
        <f t="shared" si="19"/>
        <v>0</v>
      </c>
      <c r="J315" s="27">
        <f>NT_I!I25</f>
        <v>893583</v>
      </c>
      <c r="K315" s="27">
        <f>NT_I!J25</f>
        <v>4399286</v>
      </c>
    </row>
    <row r="316" spans="4:11" ht="12.75">
      <c r="D316" s="4" t="s">
        <v>556</v>
      </c>
      <c r="E316" s="4">
        <v>4</v>
      </c>
      <c r="F316" s="4">
        <f>NT_I!G26</f>
        <v>18</v>
      </c>
      <c r="G316" s="4">
        <f>IF(NT_I!H26&lt;&gt;"",NT_I!H26,"")</f>
      </c>
      <c r="H316" s="26">
        <f t="shared" si="18"/>
        <v>-222345.54000000004</v>
      </c>
      <c r="I316" s="4">
        <f t="shared" si="19"/>
        <v>0</v>
      </c>
      <c r="J316" s="27">
        <f>NT_I!I26</f>
        <v>-411751</v>
      </c>
      <c r="K316" s="27">
        <f>NT_I!J26</f>
        <v>-411751</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1691380.4</v>
      </c>
      <c r="I318" s="4">
        <f t="shared" si="19"/>
        <v>0</v>
      </c>
      <c r="J318" s="27">
        <f>NT_I!I28</f>
        <v>481832</v>
      </c>
      <c r="K318" s="27">
        <f>NT_I!J28</f>
        <v>3987535</v>
      </c>
    </row>
    <row r="319" spans="4:11" ht="12.75">
      <c r="D319" s="4" t="s">
        <v>556</v>
      </c>
      <c r="E319" s="4">
        <v>4</v>
      </c>
      <c r="F319" s="4">
        <f>NT_I!G30</f>
        <v>21</v>
      </c>
      <c r="G319" s="4">
        <f>IF(NT_I!H30&lt;&gt;"",NT_I!H30,"")</f>
      </c>
      <c r="H319" s="26">
        <f t="shared" si="18"/>
        <v>55289.85</v>
      </c>
      <c r="I319" s="4">
        <f t="shared" si="19"/>
        <v>0</v>
      </c>
      <c r="J319" s="27">
        <f>NT_I!I30</f>
        <v>221285</v>
      </c>
      <c r="K319" s="27">
        <f>NT_I!J30</f>
        <v>21000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3415.73</v>
      </c>
      <c r="I321" s="4">
        <f t="shared" si="19"/>
        <v>0</v>
      </c>
      <c r="J321" s="27">
        <f>NT_I!I32</f>
        <v>593</v>
      </c>
      <c r="K321" s="27">
        <f>NT_I!J32</f>
        <v>7129</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75096.72</v>
      </c>
      <c r="I325" s="4">
        <f t="shared" si="19"/>
        <v>0</v>
      </c>
      <c r="J325" s="27">
        <f>NT_I!I36</f>
        <v>221878</v>
      </c>
      <c r="K325" s="27">
        <f>NT_I!J36</f>
        <v>28129</v>
      </c>
    </row>
    <row r="326" spans="4:11" ht="12.75">
      <c r="D326" s="4" t="s">
        <v>556</v>
      </c>
      <c r="E326" s="4">
        <v>4</v>
      </c>
      <c r="F326" s="4">
        <f>NT_I!G37</f>
        <v>28</v>
      </c>
      <c r="G326" s="4">
        <f>IF(NT_I!H37&lt;&gt;"",NT_I!H37,"")</f>
      </c>
      <c r="H326" s="26">
        <f t="shared" si="18"/>
        <v>-1791772.92</v>
      </c>
      <c r="I326" s="4">
        <f t="shared" si="19"/>
        <v>0</v>
      </c>
      <c r="J326" s="27">
        <f>NT_I!I37</f>
        <v>-1102311</v>
      </c>
      <c r="K326" s="27">
        <f>NT_I!J37</f>
        <v>-2648439</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-2111732.37</v>
      </c>
      <c r="I331" s="4">
        <f t="shared" si="19"/>
        <v>0</v>
      </c>
      <c r="J331" s="27">
        <f>NT_I!I42</f>
        <v>-1102311</v>
      </c>
      <c r="K331" s="27">
        <f>NT_I!J42</f>
        <v>-2648439</v>
      </c>
    </row>
    <row r="332" spans="4:11" ht="12.75">
      <c r="D332" s="4" t="s">
        <v>556</v>
      </c>
      <c r="E332" s="4">
        <v>4</v>
      </c>
      <c r="F332" s="4">
        <f>NT_I!G43</f>
        <v>34</v>
      </c>
      <c r="G332" s="4">
        <f>IF(NT_I!H43&lt;&gt;"",NT_I!H43,"")</f>
      </c>
      <c r="H332" s="26">
        <f t="shared" si="18"/>
        <v>-2081158.0199999998</v>
      </c>
      <c r="I332" s="4">
        <f t="shared" si="19"/>
        <v>0</v>
      </c>
      <c r="J332" s="27">
        <f>NT_I!I43</f>
        <v>-880433</v>
      </c>
      <c r="K332" s="27">
        <f>NT_I!J43</f>
        <v>-2620310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1121207.52</v>
      </c>
      <c r="I346" s="4">
        <f t="shared" si="21"/>
        <v>0</v>
      </c>
      <c r="J346" s="27">
        <f>NT_I!I58</f>
        <v>-398601</v>
      </c>
      <c r="K346" s="27">
        <f>NT_I!J58</f>
        <v>1367225</v>
      </c>
    </row>
    <row r="347" spans="4:11" ht="12.75">
      <c r="D347" s="4" t="s">
        <v>556</v>
      </c>
      <c r="E347" s="4">
        <v>4</v>
      </c>
      <c r="F347" s="4">
        <f>NT_I!G59</f>
        <v>49</v>
      </c>
      <c r="G347" s="4">
        <f>IF(NT_I!H59&lt;&gt;"",NT_I!H59,"")</f>
      </c>
      <c r="H347" s="26">
        <f t="shared" si="20"/>
        <v>8206467.57</v>
      </c>
      <c r="I347" s="4">
        <f t="shared" si="21"/>
        <v>0</v>
      </c>
      <c r="J347" s="27">
        <f>NT_I!I59</f>
        <v>5848365</v>
      </c>
      <c r="K347" s="27">
        <f>NT_I!J59</f>
        <v>5449764</v>
      </c>
    </row>
    <row r="348" spans="4:11" ht="12.75">
      <c r="D348" s="4" t="s">
        <v>556</v>
      </c>
      <c r="E348" s="4">
        <v>4</v>
      </c>
      <c r="F348" s="4">
        <f>NT_I!G60</f>
        <v>50</v>
      </c>
      <c r="G348" s="4">
        <f>IF(NT_I!H60&lt;&gt;"",NT_I!H60,"")</f>
      </c>
      <c r="H348" s="26">
        <f t="shared" si="20"/>
        <v>9541871</v>
      </c>
      <c r="I348" s="4">
        <f t="shared" si="21"/>
        <v>0</v>
      </c>
      <c r="J348" s="27">
        <f>NT_I!I60</f>
        <v>5449764</v>
      </c>
      <c r="K348" s="27">
        <f>NT_I!J60</f>
        <v>6816989</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3580381.9200000004</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26208000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-11650871</v>
      </c>
      <c r="X393" s="27">
        <f>PK!W10</f>
        <v>0</v>
      </c>
      <c r="Y393" s="27">
        <f>PK!X10</f>
        <v>14557129</v>
      </c>
      <c r="Z393" s="27">
        <f>PK!Y10</f>
        <v>0</v>
      </c>
      <c r="AA393" s="27">
        <f>PK!Z10</f>
        <v>14557129</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4366621.92</v>
      </c>
      <c r="I396" s="27">
        <f t="shared" si="25"/>
        <v>0</v>
      </c>
      <c r="J396" s="27">
        <f>PK!I13</f>
        <v>26208000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-11650871</v>
      </c>
      <c r="X396" s="27">
        <f>PK!W13</f>
        <v>0</v>
      </c>
      <c r="Y396" s="27">
        <f>PK!X13</f>
        <v>14557129</v>
      </c>
      <c r="Z396" s="27">
        <f>PK!Y13</f>
        <v>0</v>
      </c>
      <c r="AA396" s="27">
        <f>PK!Z13</f>
        <v>14557129</v>
      </c>
    </row>
    <row r="397" spans="4:27" ht="12.75">
      <c r="D397" s="4" t="s">
        <v>795</v>
      </c>
      <c r="E397" s="4">
        <v>6</v>
      </c>
      <c r="F397" s="4">
        <f>PK!G14</f>
        <v>5</v>
      </c>
      <c r="G397" s="4">
        <f>IF(PK!H14&lt;&gt;"",PK!H14,"")</f>
      </c>
      <c r="H397" s="26">
        <f t="shared" si="24"/>
        <v>-509943.98</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-1040702</v>
      </c>
      <c r="Y397" s="27">
        <f>PK!X14</f>
        <v>-1040702</v>
      </c>
      <c r="Z397" s="27">
        <f>PK!Y14</f>
        <v>0</v>
      </c>
      <c r="AA397" s="27">
        <f>PK!Z14</f>
        <v>-1040702</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9098277.94</v>
      </c>
      <c r="I416" s="27">
        <f t="shared" si="25"/>
        <v>0</v>
      </c>
      <c r="J416" s="27">
        <f>PK!I33</f>
        <v>26208000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-11650871</v>
      </c>
      <c r="X416" s="27">
        <f>PK!W33</f>
        <v>-1040702</v>
      </c>
      <c r="Y416" s="27">
        <f>PK!X33</f>
        <v>13516427</v>
      </c>
      <c r="Z416" s="27">
        <f>PK!Y33</f>
        <v>0</v>
      </c>
      <c r="AA416" s="27">
        <f>PK!Z33</f>
        <v>13516427</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-509943.98</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-1040702</v>
      </c>
      <c r="Y418" s="27">
        <f>PK!X36</f>
        <v>-1040702</v>
      </c>
      <c r="Z418" s="27">
        <f>PK!Y36</f>
        <v>0</v>
      </c>
      <c r="AA418" s="27">
        <f>PK!Z36</f>
        <v>-1040702</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10157004.959999999</v>
      </c>
      <c r="I420" s="27">
        <f t="shared" si="25"/>
        <v>0</v>
      </c>
      <c r="J420" s="27">
        <f>PK!I39</f>
        <v>26208000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-12691573</v>
      </c>
      <c r="X420" s="27">
        <f>PK!W39</f>
        <v>0</v>
      </c>
      <c r="Y420" s="27">
        <f>PK!X39</f>
        <v>13516427</v>
      </c>
      <c r="Z420" s="27">
        <f>PK!Y39</f>
        <v>0</v>
      </c>
      <c r="AA420" s="27">
        <f>PK!Z39</f>
        <v>13516427</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10943244.959999999</v>
      </c>
      <c r="I423" s="27">
        <f t="shared" si="25"/>
        <v>0</v>
      </c>
      <c r="J423" s="27">
        <f>PK!I42</f>
        <v>26208000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-12691573</v>
      </c>
      <c r="X423" s="27">
        <f>PK!W42</f>
        <v>0</v>
      </c>
      <c r="Y423" s="27">
        <f>PK!X42</f>
        <v>13516427</v>
      </c>
      <c r="Z423" s="27">
        <f>PK!Y42</f>
        <v>0</v>
      </c>
      <c r="AA423" s="27">
        <f>PK!Z42</f>
        <v>13516427</v>
      </c>
    </row>
    <row r="424" spans="4:27" ht="12.75">
      <c r="D424" s="4" t="s">
        <v>795</v>
      </c>
      <c r="E424" s="4">
        <v>6</v>
      </c>
      <c r="F424" s="4">
        <f>PK!G43</f>
        <v>32</v>
      </c>
      <c r="G424" s="4">
        <f>IF(PK!H43&lt;&gt;"",PK!H43,"")</f>
      </c>
      <c r="H424" s="26">
        <f t="shared" si="24"/>
        <v>349242.11000000004</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712739</v>
      </c>
      <c r="Y424" s="27">
        <f>PK!X43</f>
        <v>712739</v>
      </c>
      <c r="Z424" s="27">
        <f>PK!Y43</f>
        <v>0</v>
      </c>
      <c r="AA424" s="27">
        <f>PK!Z43</f>
        <v>712739</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16534087.07</v>
      </c>
      <c r="I443" s="27">
        <f t="shared" si="25"/>
        <v>0</v>
      </c>
      <c r="J443" s="27">
        <f>PK!I62</f>
        <v>26208000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-12691573</v>
      </c>
      <c r="X443" s="27">
        <f>PK!W62</f>
        <v>712739</v>
      </c>
      <c r="Y443" s="27">
        <f>PK!X62</f>
        <v>14229166</v>
      </c>
      <c r="Z443" s="27">
        <f>PK!Y62</f>
        <v>0</v>
      </c>
      <c r="AA443" s="27">
        <f>PK!Z62</f>
        <v>14229166</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349242.11000000004</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712739</v>
      </c>
      <c r="Y445" s="27">
        <f>PK!X65</f>
        <v>712739</v>
      </c>
      <c r="Z445" s="27">
        <f>PK!Y65</f>
        <v>0</v>
      </c>
      <c r="AA445" s="27">
        <f>PK!Z65</f>
        <v>712739</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66" activePane="bottomLeft" state="frozen"/>
      <selection pane="topLeft" activeCell="A2" sqref="A2"/>
      <selection pane="bottomLeft" activeCell="C51" sqref="C51:J5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Zračna luka Osijek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3</v>
      </c>
      <c r="T3" s="206" t="s">
        <v>614</v>
      </c>
      <c r="U3" s="224" t="str">
        <f>RefStr!L21</f>
        <v>19791532335</v>
      </c>
      <c r="V3" s="206" t="s">
        <v>2736</v>
      </c>
      <c r="W3" s="224">
        <f>RefStr!C31</f>
        <v>31207</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48188420009</v>
      </c>
      <c r="V4" s="206" t="s">
        <v>2737</v>
      </c>
      <c r="W4" s="224" t="str">
        <f>RefStr!F31</f>
        <v>Klisa</v>
      </c>
      <c r="X4" s="226" t="s">
        <v>1783</v>
      </c>
      <c r="Y4" s="227" t="str">
        <f>RefStr!I68</f>
        <v>DA</v>
      </c>
      <c r="Z4" s="206" t="s">
        <v>2970</v>
      </c>
      <c r="AA4" s="224" t="str">
        <f>RefStr!N19</f>
        <v>MSFI</v>
      </c>
    </row>
    <row r="5" spans="1:27" ht="13.5" customHeight="1">
      <c r="A5" s="504"/>
      <c r="B5" s="505"/>
      <c r="C5" s="505"/>
      <c r="D5" s="505"/>
      <c r="E5" s="505"/>
      <c r="F5" s="505"/>
      <c r="G5" s="505"/>
      <c r="H5" s="505"/>
      <c r="I5" s="512"/>
      <c r="J5" s="513"/>
      <c r="L5" s="3"/>
      <c r="M5" s="3"/>
      <c r="N5" s="203" t="s">
        <v>556</v>
      </c>
      <c r="O5" s="206">
        <f>NT_I!Q1</f>
        <v>1</v>
      </c>
      <c r="P5" s="207">
        <f>NT_I!Q2</f>
        <v>1</v>
      </c>
      <c r="Q5" s="224">
        <f>NT_I!Q3</f>
        <v>1</v>
      </c>
      <c r="R5" s="206" t="s">
        <v>2888</v>
      </c>
      <c r="S5" s="224">
        <f>IF(RefStr!C19&lt;&gt;"",IF(ISERROR(INT(RefStr!C19)),0,RefStr!C19),0)</f>
        <v>2</v>
      </c>
      <c r="T5" s="206" t="s">
        <v>1560</v>
      </c>
      <c r="U5" s="224" t="str">
        <f>RefStr!H27</f>
        <v>03361721</v>
      </c>
      <c r="V5" s="206" t="s">
        <v>2738</v>
      </c>
      <c r="W5" s="224" t="str">
        <f>RefStr!C33</f>
        <v>Vukovarska ulica 67</v>
      </c>
      <c r="X5" s="226" t="s">
        <v>2929</v>
      </c>
      <c r="Y5" s="227" t="str">
        <f>RefStr!I62</f>
        <v>DA</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030026579</v>
      </c>
      <c r="V6" s="206" t="s">
        <v>2968</v>
      </c>
      <c r="W6" s="224" t="str">
        <f>RefStr!L35</f>
        <v>031/514-402</v>
      </c>
      <c r="X6" s="206" t="s">
        <v>2926</v>
      </c>
      <c r="Y6" s="224" t="str">
        <f>RefStr!C68</f>
        <v>Katarina Jelečević</v>
      </c>
      <c r="Z6" s="206" t="s">
        <v>2952</v>
      </c>
      <c r="AA6" s="224">
        <f>RefStr!C46</f>
        <v>0</v>
      </c>
    </row>
    <row r="7" spans="1:27" ht="13.5" customHeight="1">
      <c r="A7" s="504"/>
      <c r="B7" s="505"/>
      <c r="C7" s="505"/>
      <c r="D7" s="505"/>
      <c r="E7" s="505"/>
      <c r="F7" s="505"/>
      <c r="G7" s="505"/>
      <c r="H7" s="505"/>
      <c r="I7" s="214" t="s">
        <v>211</v>
      </c>
      <c r="J7" s="216">
        <f>SUM(M12:M122)</f>
        <v>0</v>
      </c>
      <c r="N7" s="203" t="s">
        <v>795</v>
      </c>
      <c r="O7" s="206">
        <f>PK!AC1</f>
        <v>1</v>
      </c>
      <c r="P7" s="207">
        <f>PK!AC2</f>
        <v>1</v>
      </c>
      <c r="Q7" s="224">
        <f>PK!AC3</f>
        <v>1</v>
      </c>
      <c r="R7" s="206" t="s">
        <v>2969</v>
      </c>
      <c r="S7" s="224">
        <f>IF(RefStr!C44&lt;&gt;"",IF(ISERROR(INT(RefStr!C44)),0,RefStr!C44),0)</f>
        <v>1</v>
      </c>
      <c r="T7" s="206" t="s">
        <v>916</v>
      </c>
      <c r="U7" s="224">
        <f>RefStr!C7</f>
        <v>1</v>
      </c>
      <c r="V7" s="206" t="s">
        <v>2884</v>
      </c>
      <c r="W7" s="224" t="str">
        <f>TRIM(UPPER(RefStr!C35))</f>
        <v>INFO@OSIJEK-AIRPORT.HR</v>
      </c>
      <c r="X7" s="206" t="s">
        <v>2927</v>
      </c>
      <c r="Y7" s="224" t="str">
        <f>RefStr!C70</f>
        <v>031/512-402</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Javno trgovačko društvo</v>
      </c>
      <c r="V8" s="206" t="s">
        <v>2974</v>
      </c>
      <c r="W8" s="224" t="str">
        <f>RefStr!C42</f>
        <v>5223</v>
      </c>
      <c r="X8" s="206" t="s">
        <v>2928</v>
      </c>
      <c r="Y8" s="224" t="str">
        <f>TRIM(UPPER(RefStr!C72))</f>
        <v>KATARINA.JELECEVIC@OSIJEK-AIRPORT.HR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56</v>
      </c>
      <c r="Q9" s="223">
        <f>RefStr!F58</f>
        <v>51</v>
      </c>
      <c r="R9" s="206" t="s">
        <v>914</v>
      </c>
      <c r="S9" s="224">
        <f>IF(RefStr!F4&lt;&gt;"",RefStr!F4,0)</f>
        <v>44561</v>
      </c>
      <c r="T9" s="206" t="s">
        <v>891</v>
      </c>
      <c r="U9" s="224">
        <f>RefStr!C39</f>
        <v>312</v>
      </c>
      <c r="V9" s="206" t="s">
        <v>2951</v>
      </c>
      <c r="W9" s="224" t="str">
        <f>RefStr!D42</f>
        <v>Uslužne djelatnosti u vezi sa zračnim ...</v>
      </c>
      <c r="X9" s="230" t="s">
        <v>1782</v>
      </c>
      <c r="Y9" s="231" t="str">
        <f>RefStr!I66</f>
        <v>DA</v>
      </c>
      <c r="Z9" s="228" t="s">
        <v>1781</v>
      </c>
      <c r="AA9" s="229" t="str">
        <f>RefStr!I64</f>
        <v>DA</v>
      </c>
    </row>
    <row r="10" spans="1:27" ht="13.5" customHeight="1">
      <c r="A10" s="498"/>
      <c r="B10" s="498"/>
      <c r="C10" s="498"/>
      <c r="D10" s="498"/>
      <c r="E10" s="498"/>
      <c r="F10" s="498"/>
      <c r="G10" s="498"/>
      <c r="H10" s="498"/>
      <c r="I10" s="498"/>
      <c r="J10" s="498"/>
      <c r="L10" s="190"/>
      <c r="M10" s="190"/>
      <c r="O10" s="222" t="s">
        <v>1998</v>
      </c>
      <c r="P10" s="208">
        <f>RefStr!C56</f>
        <v>57</v>
      </c>
      <c r="Q10" s="225">
        <f>RefStr!F56</f>
        <v>53</v>
      </c>
      <c r="R10" s="208" t="s">
        <v>917</v>
      </c>
      <c r="S10" s="225">
        <f>RefStr!C23</f>
        <v>1</v>
      </c>
      <c r="T10" s="208" t="s">
        <v>2973</v>
      </c>
      <c r="U10" s="225" t="str">
        <f>RefStr!D39</f>
        <v>Osijek</v>
      </c>
      <c r="V10" s="232"/>
      <c r="W10" s="233"/>
      <c r="X10" s="234" t="s">
        <v>2279</v>
      </c>
      <c r="Y10" s="235">
        <f>RefStr!F12</f>
        <v>2021</v>
      </c>
      <c r="Z10" s="208" t="s">
        <v>1771</v>
      </c>
      <c r="AA10" s="225" t="str">
        <f>RefStr!A75</f>
        <v>Kos Ivan</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1"/>
      <c r="E50" s="491"/>
      <c r="F50" s="491"/>
      <c r="G50" s="491"/>
      <c r="H50" s="491"/>
      <c r="I50" s="491"/>
      <c r="J50" s="491"/>
      <c r="L50" s="190">
        <f>IF(N50&lt;&gt;S3,1,0)</f>
        <v>0</v>
      </c>
      <c r="M50" s="190"/>
      <c r="N50" s="190">
        <f>IF(P8&gt;0,O50,AC50)</f>
        <v>3</v>
      </c>
      <c r="O50" s="194">
        <f>IF(SUM(Y50:AA50)&gt;1,4,IF(SUM(U50:W50)&gt;1,3,IF(SUM(Q50:S50)&gt;1,2,IF(S6="DA",2,1))))</f>
        <v>3</v>
      </c>
      <c r="P50" s="197" t="s">
        <v>1794</v>
      </c>
      <c r="Q50" s="197">
        <f>IF(Bilanca!I73&gt;2600000,1,0)</f>
        <v>1</v>
      </c>
      <c r="R50" s="196">
        <f>IF(RDG!I60&gt;5200000,1,0)</f>
        <v>1</v>
      </c>
      <c r="S50" s="196">
        <f>IF(P10&gt;10,1,0)</f>
        <v>1</v>
      </c>
      <c r="T50" s="196" t="s">
        <v>2256</v>
      </c>
      <c r="U50" s="196">
        <f>IF(Bilanca!I73&gt;30000000,1,0)</f>
        <v>1</v>
      </c>
      <c r="V50" s="196">
        <f>IF(RDG!I60&gt;60000000,1,0)</f>
        <v>0</v>
      </c>
      <c r="W50" s="196">
        <f>IF(P10&gt;50,1,0)</f>
        <v>1</v>
      </c>
      <c r="X50" s="196" t="s">
        <v>2257</v>
      </c>
      <c r="Y50" s="196">
        <f>IF(Bilanca!I73&gt;150000000,1,0)</f>
        <v>0</v>
      </c>
      <c r="Z50" s="196">
        <f>IF(RDG!I60&gt;300000000,1,0)</f>
        <v>0</v>
      </c>
      <c r="AA50" s="196">
        <f>IF(P10&gt;250,1,0)</f>
        <v>0</v>
      </c>
      <c r="AC50" s="194">
        <f>IF(SUM(AM50:AO50)&gt;1,4,IF(SUM(AI50:AK50)&gt;1,3,IF(SUM(AE50:AG50)&gt;1,2,IF(S6="DA",2,1))))</f>
        <v>3</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0</v>
      </c>
      <c r="AK50" s="196">
        <f>IF(Q10&gt;50,1,0)</f>
        <v>1</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C:\Users\Ivona Loncarevic\Desktop\Javna Objava\[GFI-POD, Godišnji financijski izvještaj poduzetnika 2021.xls]RefStr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19" activePane="bottomLeft" state="frozen"/>
      <selection pane="topLeft" activeCell="A1" sqref="A1"/>
      <selection pane="bottomLeft" activeCell="C33" sqref="C33:L33"/>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20" t="s">
        <v>696</v>
      </c>
      <c r="B2" s="321"/>
      <c r="C2" s="321"/>
      <c r="D2" s="321"/>
      <c r="E2" s="321"/>
      <c r="F2" s="321"/>
      <c r="G2" s="321"/>
      <c r="H2" s="321"/>
      <c r="I2" s="321"/>
      <c r="J2" s="321"/>
      <c r="K2" s="321"/>
      <c r="L2" s="321"/>
      <c r="M2" s="321"/>
      <c r="N2" s="322"/>
      <c r="O2" s="3"/>
      <c r="P2" s="50"/>
      <c r="Q2" s="49">
        <f>IF(F4&lt;&gt;"",YEAR(F4),"")</f>
        <v>2021</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44197</v>
      </c>
      <c r="D4" s="319"/>
      <c r="E4" s="7" t="s">
        <v>560</v>
      </c>
      <c r="F4" s="318">
        <v>44561</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1</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57.21</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2021</v>
      </c>
      <c r="G12" s="313"/>
      <c r="H12" s="305" t="s">
        <v>1983</v>
      </c>
      <c r="I12" s="306"/>
      <c r="J12" s="306"/>
      <c r="K12" s="152"/>
      <c r="L12" s="152"/>
      <c r="M12" s="152"/>
      <c r="N12" s="152"/>
      <c r="P12" s="50" t="s">
        <v>1561</v>
      </c>
      <c r="Q12" s="51">
        <f>INT(VALUE(H27))/10</f>
        <v>336172.1</v>
      </c>
    </row>
    <row r="13" spans="4:17" ht="9.75" customHeight="1">
      <c r="D13" s="152"/>
      <c r="E13" s="158"/>
      <c r="H13" s="23"/>
      <c r="I13" s="159"/>
      <c r="J13" s="159"/>
      <c r="K13" s="152"/>
      <c r="L13" s="152"/>
      <c r="M13" s="152"/>
      <c r="N13" s="152"/>
      <c r="P13" s="50" t="s">
        <v>1561</v>
      </c>
      <c r="Q13" s="51">
        <f>INT(VALUE(M27))/50</f>
        <v>600531.58</v>
      </c>
    </row>
    <row r="14" spans="1:17" ht="15">
      <c r="A14" s="289" t="s">
        <v>1312</v>
      </c>
      <c r="B14" s="289"/>
      <c r="C14" s="289"/>
      <c r="D14" s="160"/>
      <c r="E14" s="161"/>
      <c r="F14" s="287"/>
      <c r="G14" s="288"/>
      <c r="H14" s="288"/>
      <c r="I14" s="152"/>
      <c r="J14" s="310" t="s">
        <v>1978</v>
      </c>
      <c r="K14" s="311"/>
      <c r="L14" s="311"/>
      <c r="M14" s="311"/>
      <c r="N14" s="311"/>
      <c r="P14" s="50" t="s">
        <v>1316</v>
      </c>
      <c r="Q14" s="51">
        <f>INT(VALUE(C27))/100</f>
        <v>481884200.09</v>
      </c>
    </row>
    <row r="15" spans="1:17" ht="19.5" customHeight="1">
      <c r="A15" s="307">
        <f>Skriveni!B59</f>
        <v>2488202288.7000003</v>
      </c>
      <c r="B15" s="308"/>
      <c r="C15" s="309"/>
      <c r="D15" s="56"/>
      <c r="E15" s="56"/>
      <c r="F15" s="56"/>
      <c r="G15" s="56"/>
      <c r="H15" s="56"/>
      <c r="I15" s="56"/>
      <c r="J15" s="56"/>
      <c r="K15" s="56"/>
      <c r="L15" s="56"/>
      <c r="M15" s="56"/>
      <c r="N15" s="56"/>
      <c r="P15" s="50" t="s">
        <v>887</v>
      </c>
      <c r="Q15" s="51">
        <f>LEN(Skriveni!B9)</f>
        <v>25</v>
      </c>
    </row>
    <row r="16" spans="4:17" ht="12.75" customHeight="1">
      <c r="D16" s="56"/>
      <c r="E16" s="56"/>
      <c r="F16" s="56"/>
      <c r="G16" s="56"/>
      <c r="H16" s="56"/>
      <c r="I16" s="56"/>
      <c r="P16" s="50" t="s">
        <v>888</v>
      </c>
      <c r="Q16" s="51">
        <f>INT(VALUE(C31))/100</f>
        <v>312.07</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5</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2993</v>
      </c>
      <c r="P19" s="50" t="s">
        <v>890</v>
      </c>
      <c r="Q19" s="51">
        <f>LEN(Skriveni!B12)</f>
        <v>19</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1587</v>
      </c>
      <c r="J21" s="290" t="s">
        <v>1988</v>
      </c>
      <c r="K21" s="291"/>
      <c r="L21" s="282" t="s">
        <v>2994</v>
      </c>
      <c r="M21" s="283"/>
      <c r="N21" s="284"/>
      <c r="P21" s="50" t="s">
        <v>891</v>
      </c>
      <c r="Q21" s="51">
        <f>INT(VALUE(C39))</f>
        <v>312</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5223</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2982</v>
      </c>
      <c r="D27" s="374"/>
      <c r="E27" s="284"/>
      <c r="F27" s="370" t="s">
        <v>2787</v>
      </c>
      <c r="G27" s="373"/>
      <c r="H27" s="282" t="s">
        <v>2983</v>
      </c>
      <c r="I27" s="372"/>
      <c r="J27" s="370" t="s">
        <v>1977</v>
      </c>
      <c r="K27" s="281"/>
      <c r="L27" s="280"/>
      <c r="M27" s="282" t="s">
        <v>2984</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2985</v>
      </c>
      <c r="D29" s="348"/>
      <c r="E29" s="348"/>
      <c r="F29" s="348"/>
      <c r="G29" s="348"/>
      <c r="H29" s="348"/>
      <c r="I29" s="348"/>
      <c r="J29" s="348"/>
      <c r="K29" s="348"/>
      <c r="L29" s="349"/>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31207</v>
      </c>
      <c r="D31" s="343" t="s">
        <v>929</v>
      </c>
      <c r="E31" s="344"/>
      <c r="F31" s="345" t="s">
        <v>2995</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2996</v>
      </c>
      <c r="D33" s="348"/>
      <c r="E33" s="348"/>
      <c r="F33" s="348"/>
      <c r="G33" s="348"/>
      <c r="H33" s="348"/>
      <c r="I33" s="348"/>
      <c r="J33" s="348"/>
      <c r="K33" s="348"/>
      <c r="L33" s="349"/>
      <c r="M33" s="56"/>
      <c r="N33" s="56"/>
      <c r="P33" s="50" t="s">
        <v>894</v>
      </c>
      <c r="Q33" s="51">
        <f>INT(VALUE(Skriveni!B21))</f>
        <v>2</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2986</v>
      </c>
      <c r="D35" s="277"/>
      <c r="E35" s="277"/>
      <c r="F35" s="277"/>
      <c r="G35" s="277"/>
      <c r="H35" s="277"/>
      <c r="I35" s="278"/>
      <c r="J35" s="275" t="s">
        <v>1750</v>
      </c>
      <c r="K35" s="296"/>
      <c r="L35" s="282" t="s">
        <v>2987</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2988</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312</v>
      </c>
      <c r="D39" s="358" t="str">
        <f>IF(C39="","Upišite šifru grada/općine",IF(ISNA(LOOKUP(C39,A177:A732,A177:A732)),"Šifra grada/općine ne postoji",IF(LOOKUP(C39,A177:A732,A177:A732)&lt;&gt;C39,"Šifra grada/općine ne postoji",LOOKUP(C39,A177:A732,B177:B732))))</f>
        <v>Osijek</v>
      </c>
      <c r="E39" s="359"/>
      <c r="F39" s="359"/>
      <c r="G39" s="359"/>
      <c r="H39" s="279" t="s">
        <v>2109</v>
      </c>
      <c r="I39" s="280"/>
      <c r="J39" s="54">
        <f>IF(C39&gt;0,LOOKUP(C39,A177:A732,C177:C732),"")</f>
        <v>14</v>
      </c>
      <c r="K39" s="350" t="str">
        <f>IF(J39="","Upišite šifru grada/općine",LOOKUP(J39,A153:A173,B153:B173))</f>
        <v>OSIJEČKO-BARANJSKA</v>
      </c>
      <c r="L39" s="350"/>
      <c r="M39" s="350"/>
      <c r="N39" s="350"/>
      <c r="P39" s="50" t="s">
        <v>896</v>
      </c>
      <c r="Q39" s="51">
        <f>C56+2*F56+3*C58+4*F58</f>
        <v>535</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481</v>
      </c>
      <c r="D42" s="356" t="str">
        <f>IF(C42="","Upišite šifru razreda glavne djelatnosti",IF(ISNA(LOOKUP(C42,A736:A1351,A736:A1351)),"Šifra NKD-a ne postoji",IF(LOOKUP(C42,A736:A1351,A736:A1351)&lt;&gt;C42,"Šifra NKD-a ne postoji",LOOKUP(C42,A736:A1351,B736:B1351))))</f>
        <v>Uslužne djelatnosti u vezi sa zračnim ...</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8</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197915323.35</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3</v>
      </c>
      <c r="D50" s="379" t="str">
        <f>IF(C50="","Upišite oznaku veličine",IF(ISNA(LOOKUP(C50,A124:A127,A124:A127)),"Nepostojeća oznaka veličine",IF(LOOKUP(C50,A124:A127,A124:A127)&lt;&gt;C50,"Nepostojeća oznaka veličine",LOOKUP(C50,A124:A127,B124:B127))))</f>
        <v>Srednji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1.2</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57</v>
      </c>
      <c r="D56" s="272" t="s">
        <v>2653</v>
      </c>
      <c r="E56" s="362"/>
      <c r="F56" s="40">
        <v>53</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56</v>
      </c>
      <c r="D58" s="354" t="s">
        <v>2653</v>
      </c>
      <c r="E58" s="354"/>
      <c r="F58" s="40">
        <v>51</v>
      </c>
      <c r="G58" s="354" t="s">
        <v>2654</v>
      </c>
      <c r="H58" s="354"/>
      <c r="I58" s="5" t="str">
        <f>IF(OR(NT_I!Q1&lt;&gt;0,NT_D!Q1&lt;&gt;0),"DA","NE")</f>
        <v>DA</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DA</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1587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1587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2989</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2990</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2991</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2992</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99" activePane="bottomLeft" state="frozen"/>
      <selection pane="topLeft" activeCell="A1" sqref="A1"/>
      <selection pane="bottomLeft" activeCell="I135" sqref="I135:J13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48188420009; Zračna luka Osijek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90641481</v>
      </c>
      <c r="J10" s="66">
        <f>J11+J18+J28+J39+J44</f>
        <v>91313705</v>
      </c>
    </row>
    <row r="11" spans="1:10" ht="13.5" customHeight="1">
      <c r="A11" s="390" t="s">
        <v>904</v>
      </c>
      <c r="B11" s="390"/>
      <c r="C11" s="390"/>
      <c r="D11" s="390"/>
      <c r="E11" s="390"/>
      <c r="F11" s="390"/>
      <c r="G11" s="15">
        <v>3</v>
      </c>
      <c r="H11" s="16"/>
      <c r="I11" s="66">
        <f>SUM(I12:I17)</f>
        <v>117783</v>
      </c>
      <c r="J11" s="66">
        <f>SUM(J12:J17)</f>
        <v>79583</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v>117783</v>
      </c>
      <c r="J13" s="67">
        <v>79583</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c r="I18" s="66">
        <f>SUM(I19:I27)</f>
        <v>90454298</v>
      </c>
      <c r="J18" s="66">
        <f>SUM(J19:J27)</f>
        <v>91164722</v>
      </c>
    </row>
    <row r="19" spans="1:10" ht="13.5" customHeight="1">
      <c r="A19" s="387" t="s">
        <v>733</v>
      </c>
      <c r="B19" s="387"/>
      <c r="C19" s="387"/>
      <c r="D19" s="387"/>
      <c r="E19" s="387"/>
      <c r="F19" s="387"/>
      <c r="G19" s="15">
        <v>11</v>
      </c>
      <c r="H19" s="16"/>
      <c r="I19" s="67">
        <v>15324329</v>
      </c>
      <c r="J19" s="67">
        <v>15324329</v>
      </c>
    </row>
    <row r="20" spans="1:10" ht="13.5" customHeight="1">
      <c r="A20" s="387" t="s">
        <v>796</v>
      </c>
      <c r="B20" s="387"/>
      <c r="C20" s="387"/>
      <c r="D20" s="387"/>
      <c r="E20" s="387"/>
      <c r="F20" s="387"/>
      <c r="G20" s="15">
        <v>12</v>
      </c>
      <c r="H20" s="16"/>
      <c r="I20" s="67">
        <v>64164024</v>
      </c>
      <c r="J20" s="67">
        <v>63019307</v>
      </c>
    </row>
    <row r="21" spans="1:10" ht="13.5" customHeight="1">
      <c r="A21" s="387" t="s">
        <v>734</v>
      </c>
      <c r="B21" s="387"/>
      <c r="C21" s="387"/>
      <c r="D21" s="387"/>
      <c r="E21" s="387"/>
      <c r="F21" s="387"/>
      <c r="G21" s="15">
        <v>13</v>
      </c>
      <c r="H21" s="16"/>
      <c r="I21" s="67">
        <v>4857529</v>
      </c>
      <c r="J21" s="67">
        <v>4401392</v>
      </c>
    </row>
    <row r="22" spans="1:10" ht="13.5" customHeight="1">
      <c r="A22" s="387" t="s">
        <v>405</v>
      </c>
      <c r="B22" s="387"/>
      <c r="C22" s="387"/>
      <c r="D22" s="387"/>
      <c r="E22" s="387"/>
      <c r="F22" s="387"/>
      <c r="G22" s="15">
        <v>14</v>
      </c>
      <c r="H22" s="16"/>
      <c r="I22" s="67">
        <v>1507199</v>
      </c>
      <c r="J22" s="67">
        <v>2964841</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v>4489755</v>
      </c>
      <c r="J25" s="67">
        <v>5356272</v>
      </c>
    </row>
    <row r="26" spans="1:10" ht="13.5" customHeight="1">
      <c r="A26" s="387" t="s">
        <v>2693</v>
      </c>
      <c r="B26" s="387"/>
      <c r="C26" s="387"/>
      <c r="D26" s="387"/>
      <c r="E26" s="387"/>
      <c r="F26" s="387"/>
      <c r="G26" s="15">
        <v>18</v>
      </c>
      <c r="H26" s="16"/>
      <c r="I26" s="67">
        <v>111462</v>
      </c>
      <c r="J26" s="67">
        <v>98581</v>
      </c>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69400</v>
      </c>
      <c r="J28" s="66">
        <f>SUM(J29:J38)</f>
        <v>69400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v>69400</v>
      </c>
      <c r="J33" s="67">
        <v>69400</v>
      </c>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7651305</v>
      </c>
      <c r="J45" s="66">
        <f>J46+J54+J61+J71</f>
        <v>9823806</v>
      </c>
    </row>
    <row r="46" spans="1:10" ht="13.5" customHeight="1">
      <c r="A46" s="390" t="s">
        <v>1264</v>
      </c>
      <c r="B46" s="390"/>
      <c r="C46" s="390"/>
      <c r="D46" s="390"/>
      <c r="E46" s="390"/>
      <c r="F46" s="390"/>
      <c r="G46" s="15">
        <v>38</v>
      </c>
      <c r="H46" s="16"/>
      <c r="I46" s="66">
        <f>SUM(I47:I53)</f>
        <v>102429</v>
      </c>
      <c r="J46" s="66">
        <f>SUM(J47:J53)</f>
        <v>207921</v>
      </c>
    </row>
    <row r="47" spans="1:10" ht="13.5" customHeight="1">
      <c r="A47" s="387" t="s">
        <v>1892</v>
      </c>
      <c r="B47" s="387"/>
      <c r="C47" s="387"/>
      <c r="D47" s="387"/>
      <c r="E47" s="387"/>
      <c r="F47" s="387"/>
      <c r="G47" s="15">
        <v>39</v>
      </c>
      <c r="H47" s="16"/>
      <c r="I47" s="67">
        <v>91841</v>
      </c>
      <c r="J47" s="67">
        <v>187652</v>
      </c>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v>10588</v>
      </c>
      <c r="J50" s="67">
        <v>20269</v>
      </c>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2099112</v>
      </c>
      <c r="J54" s="66">
        <f>SUM(J55:J60)</f>
        <v>2798896</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683645</v>
      </c>
      <c r="J57" s="67">
        <v>688027</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c r="I59" s="67">
        <v>341497</v>
      </c>
      <c r="J59" s="67">
        <v>626548</v>
      </c>
    </row>
    <row r="60" spans="1:10" ht="13.5" customHeight="1">
      <c r="A60" s="387" t="s">
        <v>1255</v>
      </c>
      <c r="B60" s="387"/>
      <c r="C60" s="387"/>
      <c r="D60" s="387"/>
      <c r="E60" s="387"/>
      <c r="F60" s="387"/>
      <c r="G60" s="15">
        <v>52</v>
      </c>
      <c r="H60" s="16"/>
      <c r="I60" s="67">
        <v>1073970</v>
      </c>
      <c r="J60" s="67">
        <v>1484321</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5449764</v>
      </c>
      <c r="J71" s="67">
        <v>6816989</v>
      </c>
    </row>
    <row r="72" spans="1:10" ht="24.75" customHeight="1">
      <c r="A72" s="385" t="s">
        <v>591</v>
      </c>
      <c r="B72" s="385"/>
      <c r="C72" s="385"/>
      <c r="D72" s="385"/>
      <c r="E72" s="385"/>
      <c r="F72" s="385"/>
      <c r="G72" s="15">
        <v>64</v>
      </c>
      <c r="H72" s="16"/>
      <c r="I72" s="67"/>
      <c r="J72" s="67"/>
    </row>
    <row r="73" spans="1:10" ht="13.5" customHeight="1">
      <c r="A73" s="385" t="s">
        <v>1267</v>
      </c>
      <c r="B73" s="385"/>
      <c r="C73" s="385"/>
      <c r="D73" s="385"/>
      <c r="E73" s="385"/>
      <c r="F73" s="385"/>
      <c r="G73" s="15">
        <v>65</v>
      </c>
      <c r="H73" s="16"/>
      <c r="I73" s="66">
        <f>I9+I10+I45+I72</f>
        <v>98292786</v>
      </c>
      <c r="J73" s="66">
        <f>J9+J10+J45+J72</f>
        <v>101137511</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13516427</v>
      </c>
      <c r="J76" s="66">
        <f>J77+J78+J79+J85+J86+J92+J95+J98</f>
        <v>14229166</v>
      </c>
      <c r="L76" s="2" t="s">
        <v>1209</v>
      </c>
    </row>
    <row r="77" spans="1:10" ht="13.5" customHeight="1">
      <c r="A77" s="390" t="s">
        <v>1857</v>
      </c>
      <c r="B77" s="390"/>
      <c r="C77" s="390"/>
      <c r="D77" s="390"/>
      <c r="E77" s="390"/>
      <c r="F77" s="390"/>
      <c r="G77" s="15">
        <v>68</v>
      </c>
      <c r="H77" s="16"/>
      <c r="I77" s="67">
        <v>26208000</v>
      </c>
      <c r="J77" s="67">
        <v>26208000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-11650871</v>
      </c>
      <c r="J92" s="66">
        <f>J93-J94</f>
        <v>-12691573</v>
      </c>
      <c r="L92" s="2" t="s">
        <v>1209</v>
      </c>
    </row>
    <row r="93" spans="1:10" ht="13.5" customHeight="1">
      <c r="A93" s="387" t="s">
        <v>2830</v>
      </c>
      <c r="B93" s="387"/>
      <c r="C93" s="387"/>
      <c r="D93" s="387"/>
      <c r="E93" s="387"/>
      <c r="F93" s="387"/>
      <c r="G93" s="15">
        <v>84</v>
      </c>
      <c r="H93" s="16"/>
      <c r="I93" s="67"/>
      <c r="J93" s="67"/>
    </row>
    <row r="94" spans="1:10" ht="13.5" customHeight="1">
      <c r="A94" s="387" t="s">
        <v>2831</v>
      </c>
      <c r="B94" s="387"/>
      <c r="C94" s="387"/>
      <c r="D94" s="387"/>
      <c r="E94" s="387"/>
      <c r="F94" s="387"/>
      <c r="G94" s="15">
        <v>85</v>
      </c>
      <c r="H94" s="16"/>
      <c r="I94" s="67">
        <v>11650871</v>
      </c>
      <c r="J94" s="67">
        <v>12691573</v>
      </c>
    </row>
    <row r="95" spans="1:12" ht="13.5" customHeight="1">
      <c r="A95" s="390" t="s">
        <v>2487</v>
      </c>
      <c r="B95" s="390"/>
      <c r="C95" s="390"/>
      <c r="D95" s="390"/>
      <c r="E95" s="390"/>
      <c r="F95" s="390"/>
      <c r="G95" s="15">
        <v>86</v>
      </c>
      <c r="H95" s="16"/>
      <c r="I95" s="66">
        <f>I96-I97</f>
        <v>-1040702</v>
      </c>
      <c r="J95" s="66">
        <f>J96-J97</f>
        <v>712739</v>
      </c>
      <c r="L95" s="2" t="s">
        <v>1209</v>
      </c>
    </row>
    <row r="96" spans="1:10" ht="13.5" customHeight="1">
      <c r="A96" s="387" t="s">
        <v>1257</v>
      </c>
      <c r="B96" s="387"/>
      <c r="C96" s="387"/>
      <c r="D96" s="387"/>
      <c r="E96" s="387"/>
      <c r="F96" s="387"/>
      <c r="G96" s="15">
        <v>87</v>
      </c>
      <c r="H96" s="16"/>
      <c r="I96" s="67"/>
      <c r="J96" s="67">
        <v>712739</v>
      </c>
    </row>
    <row r="97" spans="1:10" ht="13.5" customHeight="1">
      <c r="A97" s="387" t="s">
        <v>2832</v>
      </c>
      <c r="B97" s="387"/>
      <c r="C97" s="387"/>
      <c r="D97" s="387"/>
      <c r="E97" s="387"/>
      <c r="F97" s="387"/>
      <c r="G97" s="15">
        <v>88</v>
      </c>
      <c r="H97" s="16"/>
      <c r="I97" s="67">
        <v>1040702</v>
      </c>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153812</v>
      </c>
      <c r="J99" s="66">
        <f>SUM(J100:J105)</f>
        <v>297159</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v>21500</v>
      </c>
      <c r="J102" s="67">
        <v>48505</v>
      </c>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v>132312</v>
      </c>
      <c r="J105" s="67">
        <v>248654</v>
      </c>
    </row>
    <row r="106" spans="1:10" ht="13.5" customHeight="1">
      <c r="A106" s="385" t="s">
        <v>2489</v>
      </c>
      <c r="B106" s="385"/>
      <c r="C106" s="385"/>
      <c r="D106" s="385"/>
      <c r="E106" s="385"/>
      <c r="F106" s="385"/>
      <c r="G106" s="15">
        <v>97</v>
      </c>
      <c r="H106" s="16"/>
      <c r="I106" s="66">
        <f>SUM(I107:I117)</f>
        <v>22000000</v>
      </c>
      <c r="J106" s="66">
        <f>SUM(J107:J117)</f>
        <v>23053995</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v>22000000</v>
      </c>
      <c r="J112" s="67">
        <v>23053995</v>
      </c>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62622547</v>
      </c>
      <c r="J118" s="66">
        <f>SUM(J119:J132)</f>
        <v>63557191</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v>23137</v>
      </c>
      <c r="J124" s="67">
        <v>821983</v>
      </c>
    </row>
    <row r="125" spans="1:10" ht="13.5" customHeight="1">
      <c r="A125" s="387" t="s">
        <v>2016</v>
      </c>
      <c r="B125" s="387"/>
      <c r="C125" s="387"/>
      <c r="D125" s="387"/>
      <c r="E125" s="387"/>
      <c r="F125" s="387"/>
      <c r="G125" s="15">
        <v>116</v>
      </c>
      <c r="H125" s="16"/>
      <c r="I125" s="67">
        <v>12248</v>
      </c>
      <c r="J125" s="67">
        <v>9059</v>
      </c>
    </row>
    <row r="126" spans="1:10" ht="13.5" customHeight="1">
      <c r="A126" s="387" t="s">
        <v>2017</v>
      </c>
      <c r="B126" s="387"/>
      <c r="C126" s="387"/>
      <c r="D126" s="387"/>
      <c r="E126" s="387"/>
      <c r="F126" s="387"/>
      <c r="G126" s="15">
        <v>117</v>
      </c>
      <c r="H126" s="16"/>
      <c r="I126" s="67">
        <v>1417064</v>
      </c>
      <c r="J126" s="67">
        <v>1756689</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376197</v>
      </c>
      <c r="J128" s="67">
        <v>350724</v>
      </c>
    </row>
    <row r="129" spans="1:10" ht="13.5" customHeight="1">
      <c r="A129" s="387" t="s">
        <v>2023</v>
      </c>
      <c r="B129" s="387"/>
      <c r="C129" s="387"/>
      <c r="D129" s="387"/>
      <c r="E129" s="387"/>
      <c r="F129" s="387"/>
      <c r="G129" s="15">
        <v>120</v>
      </c>
      <c r="H129" s="16"/>
      <c r="I129" s="67">
        <v>184165</v>
      </c>
      <c r="J129" s="67">
        <v>181402</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60609736</v>
      </c>
      <c r="J132" s="67">
        <v>60437334</v>
      </c>
    </row>
    <row r="133" spans="1:10" ht="24.75" customHeight="1">
      <c r="A133" s="385" t="s">
        <v>593</v>
      </c>
      <c r="B133" s="385"/>
      <c r="C133" s="385"/>
      <c r="D133" s="385"/>
      <c r="E133" s="385"/>
      <c r="F133" s="385"/>
      <c r="G133" s="15">
        <v>124</v>
      </c>
      <c r="H133" s="16"/>
      <c r="I133" s="67"/>
      <c r="J133" s="67"/>
    </row>
    <row r="134" spans="1:10" ht="13.5" customHeight="1">
      <c r="A134" s="385" t="s">
        <v>360</v>
      </c>
      <c r="B134" s="385"/>
      <c r="C134" s="385"/>
      <c r="D134" s="385"/>
      <c r="E134" s="385"/>
      <c r="F134" s="385"/>
      <c r="G134" s="15">
        <v>125</v>
      </c>
      <c r="H134" s="16"/>
      <c r="I134" s="66">
        <f>I76+I99+I106+I118+I133</f>
        <v>98292786</v>
      </c>
      <c r="J134" s="66">
        <f>J76+J99+J106+J118+J133</f>
        <v>101137511</v>
      </c>
    </row>
    <row r="135" spans="1:10" ht="13.5" customHeight="1">
      <c r="A135" s="386" t="s">
        <v>1512</v>
      </c>
      <c r="B135" s="386"/>
      <c r="C135" s="386"/>
      <c r="D135" s="386"/>
      <c r="E135" s="386"/>
      <c r="F135" s="386"/>
      <c r="G135" s="17">
        <v>126</v>
      </c>
      <c r="H135" s="18"/>
      <c r="I135" s="68"/>
      <c r="J135" s="68"/>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83" activePane="bottomLeft" state="frozen"/>
      <selection pane="topLeft" activeCell="A1" sqref="A1"/>
      <selection pane="bottomLeft" activeCell="J14" sqref="J14"/>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01.01.2021. do 31.12.2021.</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48188420009; Zračna luka Osijek d.o.o.</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1</v>
      </c>
      <c r="R7" s="69" t="s">
        <v>634</v>
      </c>
    </row>
    <row r="8" spans="1:18" s="2" customFormat="1" ht="14.25" customHeight="1">
      <c r="A8" s="414" t="s">
        <v>2491</v>
      </c>
      <c r="B8" s="414"/>
      <c r="C8" s="414"/>
      <c r="D8" s="414"/>
      <c r="E8" s="414"/>
      <c r="F8" s="414"/>
      <c r="G8" s="13">
        <v>127</v>
      </c>
      <c r="H8" s="14"/>
      <c r="I8" s="80">
        <f>SUM(I9:I13)</f>
        <v>11895949</v>
      </c>
      <c r="J8" s="80">
        <f>SUM(J9:J13)</f>
        <v>13972075</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2481258</v>
      </c>
      <c r="J10" s="67">
        <v>3453521</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9414691</v>
      </c>
      <c r="J13" s="67">
        <v>10518554</v>
      </c>
    </row>
    <row r="14" spans="1:10" s="2" customFormat="1" ht="14.25" customHeight="1">
      <c r="A14" s="385" t="s">
        <v>2492</v>
      </c>
      <c r="B14" s="385"/>
      <c r="C14" s="385"/>
      <c r="D14" s="385"/>
      <c r="E14" s="385"/>
      <c r="F14" s="385"/>
      <c r="G14" s="15">
        <v>133</v>
      </c>
      <c r="H14" s="16"/>
      <c r="I14" s="66">
        <f>I15+I16+I20+I24+I25+I26+I29+I36</f>
        <v>12473874</v>
      </c>
      <c r="J14" s="66">
        <f>J15+J16+J20+J24+J25+J26+J29+J36</f>
        <v>12798766</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2819454</v>
      </c>
      <c r="J16" s="66">
        <f>SUM(J17:J19)</f>
        <v>3299136</v>
      </c>
    </row>
    <row r="17" spans="1:10" s="2" customFormat="1" ht="14.25" customHeight="1">
      <c r="A17" s="413" t="s">
        <v>1273</v>
      </c>
      <c r="B17" s="413"/>
      <c r="C17" s="413"/>
      <c r="D17" s="413"/>
      <c r="E17" s="413"/>
      <c r="F17" s="413"/>
      <c r="G17" s="15">
        <v>136</v>
      </c>
      <c r="H17" s="16"/>
      <c r="I17" s="67">
        <v>972801</v>
      </c>
      <c r="J17" s="67">
        <v>997940</v>
      </c>
    </row>
    <row r="18" spans="1:10" s="2" customFormat="1" ht="14.25" customHeight="1">
      <c r="A18" s="413" t="s">
        <v>1274</v>
      </c>
      <c r="B18" s="413"/>
      <c r="C18" s="413"/>
      <c r="D18" s="413"/>
      <c r="E18" s="413"/>
      <c r="F18" s="413"/>
      <c r="G18" s="15">
        <v>137</v>
      </c>
      <c r="H18" s="16"/>
      <c r="I18" s="67">
        <v>24690</v>
      </c>
      <c r="J18" s="67">
        <v>63568</v>
      </c>
    </row>
    <row r="19" spans="1:10" s="2" customFormat="1" ht="14.25" customHeight="1">
      <c r="A19" s="413" t="s">
        <v>2959</v>
      </c>
      <c r="B19" s="413"/>
      <c r="C19" s="413"/>
      <c r="D19" s="413"/>
      <c r="E19" s="413"/>
      <c r="F19" s="413"/>
      <c r="G19" s="15">
        <v>138</v>
      </c>
      <c r="H19" s="16"/>
      <c r="I19" s="67">
        <v>1821963</v>
      </c>
      <c r="J19" s="67">
        <v>2237628</v>
      </c>
    </row>
    <row r="20" spans="1:10" s="2" customFormat="1" ht="14.25" customHeight="1">
      <c r="A20" s="387" t="s">
        <v>2494</v>
      </c>
      <c r="B20" s="387"/>
      <c r="C20" s="387"/>
      <c r="D20" s="387"/>
      <c r="E20" s="387"/>
      <c r="F20" s="387"/>
      <c r="G20" s="15">
        <v>139</v>
      </c>
      <c r="H20" s="16"/>
      <c r="I20" s="66">
        <f>SUM(I21:I23)</f>
        <v>6219865</v>
      </c>
      <c r="J20" s="66">
        <f>SUM(J21:J23)</f>
        <v>6051630</v>
      </c>
    </row>
    <row r="21" spans="1:10" s="2" customFormat="1" ht="14.25" customHeight="1">
      <c r="A21" s="413" t="s">
        <v>960</v>
      </c>
      <c r="B21" s="413"/>
      <c r="C21" s="413"/>
      <c r="D21" s="413"/>
      <c r="E21" s="413"/>
      <c r="F21" s="413"/>
      <c r="G21" s="15">
        <v>140</v>
      </c>
      <c r="H21" s="16"/>
      <c r="I21" s="67">
        <v>3990488</v>
      </c>
      <c r="J21" s="67">
        <v>3910144</v>
      </c>
    </row>
    <row r="22" spans="1:10" s="2" customFormat="1" ht="14.25" customHeight="1">
      <c r="A22" s="413" t="s">
        <v>1883</v>
      </c>
      <c r="B22" s="413"/>
      <c r="C22" s="413"/>
      <c r="D22" s="413"/>
      <c r="E22" s="413"/>
      <c r="F22" s="413"/>
      <c r="G22" s="15">
        <v>141</v>
      </c>
      <c r="H22" s="16"/>
      <c r="I22" s="67">
        <v>1392983</v>
      </c>
      <c r="J22" s="67">
        <v>1355669</v>
      </c>
    </row>
    <row r="23" spans="1:10" s="2" customFormat="1" ht="14.25" customHeight="1">
      <c r="A23" s="413" t="s">
        <v>1884</v>
      </c>
      <c r="B23" s="413"/>
      <c r="C23" s="413"/>
      <c r="D23" s="413"/>
      <c r="E23" s="413"/>
      <c r="F23" s="413"/>
      <c r="G23" s="15">
        <v>142</v>
      </c>
      <c r="H23" s="16"/>
      <c r="I23" s="67">
        <v>836394</v>
      </c>
      <c r="J23" s="67">
        <v>785817</v>
      </c>
    </row>
    <row r="24" spans="1:10" s="2" customFormat="1" ht="14.25" customHeight="1">
      <c r="A24" s="387" t="s">
        <v>1006</v>
      </c>
      <c r="B24" s="387"/>
      <c r="C24" s="387"/>
      <c r="D24" s="387"/>
      <c r="E24" s="387"/>
      <c r="F24" s="387"/>
      <c r="G24" s="15">
        <v>143</v>
      </c>
      <c r="H24" s="16"/>
      <c r="I24" s="67">
        <v>1965731</v>
      </c>
      <c r="J24" s="67">
        <v>1962145</v>
      </c>
    </row>
    <row r="25" spans="1:10" s="2" customFormat="1" ht="14.25" customHeight="1">
      <c r="A25" s="387" t="s">
        <v>1007</v>
      </c>
      <c r="B25" s="387"/>
      <c r="C25" s="387"/>
      <c r="D25" s="387"/>
      <c r="E25" s="387"/>
      <c r="F25" s="387"/>
      <c r="G25" s="15">
        <v>144</v>
      </c>
      <c r="H25" s="16"/>
      <c r="I25" s="67">
        <v>1113481</v>
      </c>
      <c r="J25" s="67">
        <v>1321155</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c r="J28" s="67"/>
      <c r="L28" s="2" t="s">
        <v>1209</v>
      </c>
    </row>
    <row r="29" spans="1:12" s="2" customFormat="1" ht="14.25" customHeight="1">
      <c r="A29" s="387" t="s">
        <v>2496</v>
      </c>
      <c r="B29" s="387"/>
      <c r="C29" s="387"/>
      <c r="D29" s="387"/>
      <c r="E29" s="387"/>
      <c r="F29" s="387"/>
      <c r="G29" s="15">
        <v>148</v>
      </c>
      <c r="H29" s="16"/>
      <c r="I29" s="66">
        <f>SUM(I30:I35)</f>
        <v>153812</v>
      </c>
      <c r="J29" s="66">
        <f>SUM(J30:J35)</f>
        <v>143347</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v>21500</v>
      </c>
      <c r="J32" s="67">
        <v>27005</v>
      </c>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v>132312</v>
      </c>
      <c r="J35" s="67">
        <v>116342</v>
      </c>
      <c r="L35" s="2" t="s">
        <v>1209</v>
      </c>
    </row>
    <row r="36" spans="1:10" s="2" customFormat="1" ht="14.25" customHeight="1">
      <c r="A36" s="387" t="s">
        <v>147</v>
      </c>
      <c r="B36" s="387"/>
      <c r="C36" s="387"/>
      <c r="D36" s="387"/>
      <c r="E36" s="387"/>
      <c r="F36" s="387"/>
      <c r="G36" s="15">
        <v>155</v>
      </c>
      <c r="H36" s="16"/>
      <c r="I36" s="67">
        <v>201531</v>
      </c>
      <c r="J36" s="67">
        <v>21353</v>
      </c>
    </row>
    <row r="37" spans="1:10" s="2" customFormat="1" ht="14.25" customHeight="1">
      <c r="A37" s="385" t="s">
        <v>2497</v>
      </c>
      <c r="B37" s="385"/>
      <c r="C37" s="385"/>
      <c r="D37" s="385"/>
      <c r="E37" s="385"/>
      <c r="F37" s="385"/>
      <c r="G37" s="15">
        <v>156</v>
      </c>
      <c r="H37" s="16"/>
      <c r="I37" s="66">
        <f>SUM(I38:I47)</f>
        <v>27631</v>
      </c>
      <c r="J37" s="66">
        <f>SUM(J38:J47)</f>
        <v>23620</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593</v>
      </c>
      <c r="J44" s="67">
        <v>7130</v>
      </c>
    </row>
    <row r="45" spans="1:10" s="2" customFormat="1" ht="14.25" customHeight="1">
      <c r="A45" s="387" t="s">
        <v>2961</v>
      </c>
      <c r="B45" s="387"/>
      <c r="C45" s="387"/>
      <c r="D45" s="387"/>
      <c r="E45" s="387"/>
      <c r="F45" s="387"/>
      <c r="G45" s="15">
        <v>164</v>
      </c>
      <c r="H45" s="16"/>
      <c r="I45" s="67">
        <v>27038</v>
      </c>
      <c r="J45" s="67">
        <v>16490</v>
      </c>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490408</v>
      </c>
      <c r="J48" s="66">
        <f>SUM(J49:J55)</f>
        <v>484190</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463022</v>
      </c>
      <c r="J51" s="67">
        <v>464607</v>
      </c>
    </row>
    <row r="52" spans="1:10" s="2" customFormat="1" ht="14.25" customHeight="1">
      <c r="A52" s="408" t="s">
        <v>1090</v>
      </c>
      <c r="B52" s="408"/>
      <c r="C52" s="408"/>
      <c r="D52" s="408"/>
      <c r="E52" s="408"/>
      <c r="F52" s="408"/>
      <c r="G52" s="15">
        <v>171</v>
      </c>
      <c r="H52" s="16"/>
      <c r="I52" s="67">
        <v>27386</v>
      </c>
      <c r="J52" s="67">
        <v>19583</v>
      </c>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11923580</v>
      </c>
      <c r="J60" s="66">
        <f>J8+J37+J56+J57</f>
        <v>13995695</v>
      </c>
    </row>
    <row r="61" spans="1:10" s="2" customFormat="1" ht="14.25" customHeight="1">
      <c r="A61" s="385" t="s">
        <v>2500</v>
      </c>
      <c r="B61" s="385"/>
      <c r="C61" s="385"/>
      <c r="D61" s="385"/>
      <c r="E61" s="385"/>
      <c r="F61" s="385"/>
      <c r="G61" s="15">
        <v>180</v>
      </c>
      <c r="H61" s="16"/>
      <c r="I61" s="66">
        <f>I14+I48+I58+I59</f>
        <v>12964282</v>
      </c>
      <c r="J61" s="66">
        <f>J14+J48+J58+J59</f>
        <v>13282956</v>
      </c>
    </row>
    <row r="62" spans="1:12" s="2" customFormat="1" ht="14.25" customHeight="1">
      <c r="A62" s="385" t="s">
        <v>2501</v>
      </c>
      <c r="B62" s="385"/>
      <c r="C62" s="385"/>
      <c r="D62" s="385"/>
      <c r="E62" s="385"/>
      <c r="F62" s="385"/>
      <c r="G62" s="15">
        <v>181</v>
      </c>
      <c r="H62" s="16"/>
      <c r="I62" s="66">
        <f>I60-I61</f>
        <v>-1040702</v>
      </c>
      <c r="J62" s="66">
        <f>J60-J61</f>
        <v>712739</v>
      </c>
      <c r="L62" s="2" t="s">
        <v>1209</v>
      </c>
    </row>
    <row r="63" spans="1:10" s="2" customFormat="1" ht="14.25" customHeight="1">
      <c r="A63" s="408" t="s">
        <v>2502</v>
      </c>
      <c r="B63" s="408"/>
      <c r="C63" s="408"/>
      <c r="D63" s="408"/>
      <c r="E63" s="408"/>
      <c r="F63" s="408"/>
      <c r="G63" s="15">
        <v>182</v>
      </c>
      <c r="H63" s="16"/>
      <c r="I63" s="66">
        <f>IF(I60&gt;I61,I60-I61,0)</f>
        <v>0</v>
      </c>
      <c r="J63" s="66">
        <f>IF(J60&gt;J61,J60-J61,0)</f>
        <v>712739</v>
      </c>
    </row>
    <row r="64" spans="1:10" s="2" customFormat="1" ht="14.25" customHeight="1">
      <c r="A64" s="408" t="s">
        <v>2503</v>
      </c>
      <c r="B64" s="408"/>
      <c r="C64" s="408"/>
      <c r="D64" s="408"/>
      <c r="E64" s="408"/>
      <c r="F64" s="408"/>
      <c r="G64" s="15">
        <v>183</v>
      </c>
      <c r="H64" s="16"/>
      <c r="I64" s="66">
        <f>IF(I61&gt;I60,I61-I60,0)</f>
        <v>1040702</v>
      </c>
      <c r="J64" s="66">
        <f>IF(J61&gt;J60,J61-J60,0)</f>
        <v>0</v>
      </c>
    </row>
    <row r="65" spans="1:12" s="2" customFormat="1" ht="14.25" customHeight="1">
      <c r="A65" s="385" t="s">
        <v>1238</v>
      </c>
      <c r="B65" s="385"/>
      <c r="C65" s="385"/>
      <c r="D65" s="385"/>
      <c r="E65" s="385"/>
      <c r="F65" s="385"/>
      <c r="G65" s="15">
        <v>184</v>
      </c>
      <c r="H65" s="16"/>
      <c r="I65" s="67"/>
      <c r="J65" s="67"/>
      <c r="L65" s="2" t="s">
        <v>1209</v>
      </c>
    </row>
    <row r="66" spans="1:12" s="2" customFormat="1" ht="14.25" customHeight="1">
      <c r="A66" s="385" t="s">
        <v>2504</v>
      </c>
      <c r="B66" s="385"/>
      <c r="C66" s="385"/>
      <c r="D66" s="385"/>
      <c r="E66" s="385"/>
      <c r="F66" s="385"/>
      <c r="G66" s="15">
        <v>185</v>
      </c>
      <c r="H66" s="16"/>
      <c r="I66" s="66">
        <f>I62-I65</f>
        <v>-1040702</v>
      </c>
      <c r="J66" s="66">
        <f>J62-J65</f>
        <v>712739</v>
      </c>
      <c r="L66" s="2" t="s">
        <v>1209</v>
      </c>
    </row>
    <row r="67" spans="1:10" s="2" customFormat="1" ht="14.25" customHeight="1">
      <c r="A67" s="408" t="s">
        <v>2505</v>
      </c>
      <c r="B67" s="408"/>
      <c r="C67" s="408"/>
      <c r="D67" s="408"/>
      <c r="E67" s="408"/>
      <c r="F67" s="408"/>
      <c r="G67" s="15">
        <v>186</v>
      </c>
      <c r="H67" s="16"/>
      <c r="I67" s="66">
        <f>IF(I66&gt;0,I66,0)</f>
        <v>0</v>
      </c>
      <c r="J67" s="66">
        <f>IF(J66&gt;0,J66,0)</f>
        <v>712739</v>
      </c>
    </row>
    <row r="68" spans="1:10" s="2" customFormat="1" ht="14.25" customHeight="1">
      <c r="A68" s="412" t="s">
        <v>2506</v>
      </c>
      <c r="B68" s="412"/>
      <c r="C68" s="412"/>
      <c r="D68" s="412"/>
      <c r="E68" s="412"/>
      <c r="F68" s="412"/>
      <c r="G68" s="17">
        <v>187</v>
      </c>
      <c r="H68" s="18"/>
      <c r="I68" s="81">
        <f>IF(I66&lt;0,-I66,0)</f>
        <v>1040702</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4" t="s">
        <v>2710</v>
      </c>
      <c r="B87" s="424"/>
      <c r="C87" s="424"/>
      <c r="D87" s="424"/>
      <c r="E87" s="424"/>
      <c r="F87" s="424"/>
      <c r="G87" s="17">
        <v>203</v>
      </c>
      <c r="H87" s="18"/>
      <c r="I87" s="74"/>
      <c r="J87" s="74"/>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v>-1040702</v>
      </c>
      <c r="J89" s="73">
        <v>712739</v>
      </c>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-1040702</v>
      </c>
      <c r="J109" s="83">
        <f>J89+J108</f>
        <v>712739</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4" t="s">
        <v>1099</v>
      </c>
      <c r="B113" s="424"/>
      <c r="C113" s="424"/>
      <c r="D113" s="424"/>
      <c r="E113" s="424"/>
      <c r="F113" s="424"/>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42:F42"/>
    <mergeCell ref="A43:F43"/>
    <mergeCell ref="A44:F44"/>
    <mergeCell ref="A37:F37"/>
    <mergeCell ref="A32:F32"/>
    <mergeCell ref="A102:F102"/>
    <mergeCell ref="A87:F87"/>
    <mergeCell ref="A50:F50"/>
    <mergeCell ref="A51:F51"/>
    <mergeCell ref="A57:F57"/>
    <mergeCell ref="A58:F58"/>
    <mergeCell ref="A59:F59"/>
    <mergeCell ref="A60:F60"/>
    <mergeCell ref="A62:F62"/>
    <mergeCell ref="A41:F41"/>
    <mergeCell ref="A28:F28"/>
    <mergeCell ref="A30:F30"/>
    <mergeCell ref="A33:F33"/>
    <mergeCell ref="A56:F56"/>
    <mergeCell ref="A61:F61"/>
    <mergeCell ref="A48:F48"/>
    <mergeCell ref="A46:F46"/>
    <mergeCell ref="A47:F47"/>
    <mergeCell ref="A49:F49"/>
    <mergeCell ref="A20:F20"/>
    <mergeCell ref="A39:F39"/>
    <mergeCell ref="A40:F40"/>
    <mergeCell ref="A38:F38"/>
    <mergeCell ref="A35:F35"/>
    <mergeCell ref="A45:F45"/>
    <mergeCell ref="A5:J5"/>
    <mergeCell ref="A6:F6"/>
    <mergeCell ref="A2:I2"/>
    <mergeCell ref="A3:I3"/>
    <mergeCell ref="J2:J3"/>
    <mergeCell ref="A31:F31"/>
    <mergeCell ref="A16:F16"/>
    <mergeCell ref="A23:F23"/>
    <mergeCell ref="A24:F24"/>
    <mergeCell ref="A15:F15"/>
    <mergeCell ref="A88:J88"/>
    <mergeCell ref="A18:F18"/>
    <mergeCell ref="A19:F19"/>
    <mergeCell ref="A26:F26"/>
    <mergeCell ref="A27:F27"/>
    <mergeCell ref="A29:F29"/>
    <mergeCell ref="A36:F36"/>
    <mergeCell ref="A34:F34"/>
    <mergeCell ref="A71:F71"/>
    <mergeCell ref="A55:F55"/>
    <mergeCell ref="A13:F13"/>
    <mergeCell ref="A21:F21"/>
    <mergeCell ref="A9:F9"/>
    <mergeCell ref="A8:F8"/>
    <mergeCell ref="A22:F22"/>
    <mergeCell ref="A7:F7"/>
    <mergeCell ref="A11:F11"/>
    <mergeCell ref="A17:F17"/>
    <mergeCell ref="A25:F25"/>
    <mergeCell ref="A12:F12"/>
    <mergeCell ref="A10:F10"/>
    <mergeCell ref="A14:F14"/>
    <mergeCell ref="A72:F72"/>
    <mergeCell ref="A68:F68"/>
    <mergeCell ref="A67:F67"/>
    <mergeCell ref="A65:F65"/>
    <mergeCell ref="A66:F66"/>
    <mergeCell ref="A64:F64"/>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8" activePane="bottomLeft" state="frozen"/>
      <selection pane="topLeft" activeCell="A1" sqref="A1"/>
      <selection pane="bottomLeft" activeCell="I79" sqref="I79:J82"/>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01.01.2021. do 31.12.2021.</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48188420009; Zračna luka Osijek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7" activePane="bottomLeft" state="frozen"/>
      <selection pane="topLeft" activeCell="A1" sqref="A1"/>
      <selection pane="bottomLeft" activeCell="J60" sqref="J60"/>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1</v>
      </c>
      <c r="R1" s="69" t="s">
        <v>792</v>
      </c>
    </row>
    <row r="2" spans="1:18" s="2" customFormat="1" ht="19.5" customHeight="1">
      <c r="A2" s="436" t="s">
        <v>1102</v>
      </c>
      <c r="B2" s="437"/>
      <c r="C2" s="437"/>
      <c r="D2" s="437"/>
      <c r="E2" s="437"/>
      <c r="F2" s="437"/>
      <c r="G2" s="437"/>
      <c r="H2" s="437"/>
      <c r="I2" s="458"/>
      <c r="J2" s="392" t="s">
        <v>1212</v>
      </c>
      <c r="Q2" s="70">
        <f>IF(OR(MIN(I8:I60)&lt;0,MAX(I8:I60)&gt;0),1,0)</f>
        <v>1</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59"/>
      <c r="J3" s="426"/>
      <c r="Q3" s="70">
        <f>IF(OR(MIN(J8:J60)&lt;0,MAX(J8:J60)&gt;0),1,0)</f>
        <v>1</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48188420009; Zračna luka Osijek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v>-1040702</v>
      </c>
      <c r="J9" s="138">
        <v>712739</v>
      </c>
    </row>
    <row r="10" spans="1:10" s="2" customFormat="1" ht="13.5" customHeight="1">
      <c r="A10" s="408" t="s">
        <v>71</v>
      </c>
      <c r="B10" s="408"/>
      <c r="C10" s="408"/>
      <c r="D10" s="408"/>
      <c r="E10" s="408"/>
      <c r="F10" s="408"/>
      <c r="G10" s="15">
        <v>2</v>
      </c>
      <c r="H10" s="19"/>
      <c r="I10" s="121">
        <f>SUM(I11:I18)</f>
        <v>2581972</v>
      </c>
      <c r="J10" s="121">
        <f>SUM(J11:J18)</f>
        <v>2561236</v>
      </c>
    </row>
    <row r="11" spans="1:12" s="2" customFormat="1" ht="13.5" customHeight="1">
      <c r="A11" s="448" t="s">
        <v>1543</v>
      </c>
      <c r="B11" s="448"/>
      <c r="C11" s="448"/>
      <c r="D11" s="448"/>
      <c r="E11" s="448"/>
      <c r="F11" s="448"/>
      <c r="G11" s="15">
        <v>3</v>
      </c>
      <c r="H11" s="19"/>
      <c r="I11" s="122">
        <v>1965731</v>
      </c>
      <c r="J11" s="122">
        <v>1962145</v>
      </c>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v>-593</v>
      </c>
      <c r="J14" s="122">
        <v>-7129</v>
      </c>
      <c r="L14" s="2" t="s">
        <v>1209</v>
      </c>
    </row>
    <row r="15" spans="1:12" s="2" customFormat="1" ht="13.5" customHeight="1">
      <c r="A15" s="448" t="s">
        <v>1545</v>
      </c>
      <c r="B15" s="448"/>
      <c r="C15" s="448"/>
      <c r="D15" s="448"/>
      <c r="E15" s="448"/>
      <c r="F15" s="448"/>
      <c r="G15" s="15">
        <v>7</v>
      </c>
      <c r="H15" s="19"/>
      <c r="I15" s="122">
        <v>463022</v>
      </c>
      <c r="J15" s="122">
        <v>464607</v>
      </c>
      <c r="L15" s="2" t="s">
        <v>2525</v>
      </c>
    </row>
    <row r="16" spans="1:10" s="2" customFormat="1" ht="13.5" customHeight="1">
      <c r="A16" s="448" t="s">
        <v>1546</v>
      </c>
      <c r="B16" s="448"/>
      <c r="C16" s="448"/>
      <c r="D16" s="448"/>
      <c r="E16" s="448"/>
      <c r="F16" s="448"/>
      <c r="G16" s="15">
        <v>8</v>
      </c>
      <c r="H16" s="19"/>
      <c r="I16" s="122">
        <v>153812</v>
      </c>
      <c r="J16" s="122">
        <v>143347</v>
      </c>
    </row>
    <row r="17" spans="1:10" s="2" customFormat="1" ht="13.5" customHeight="1">
      <c r="A17" s="448" t="s">
        <v>1547</v>
      </c>
      <c r="B17" s="448"/>
      <c r="C17" s="448"/>
      <c r="D17" s="448"/>
      <c r="E17" s="448"/>
      <c r="F17" s="448"/>
      <c r="G17" s="15">
        <v>9</v>
      </c>
      <c r="H17" s="19"/>
      <c r="I17" s="122"/>
      <c r="J17" s="122">
        <v>-1734</v>
      </c>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1541270</v>
      </c>
      <c r="J19" s="121">
        <f>J9+J10</f>
        <v>3273975</v>
      </c>
      <c r="N19" s="2">
        <f>IF(MIN(NT_I!I11:J11,NT_I!I15:J15,NT_I!I30:J36,NT_I!I59:J60)&lt;0,1,0)</f>
        <v>0</v>
      </c>
    </row>
    <row r="20" spans="1:10" s="2" customFormat="1" ht="13.5" customHeight="1">
      <c r="A20" s="408" t="s">
        <v>21</v>
      </c>
      <c r="B20" s="408"/>
      <c r="C20" s="408"/>
      <c r="D20" s="408"/>
      <c r="E20" s="408"/>
      <c r="F20" s="408"/>
      <c r="G20" s="15">
        <v>12</v>
      </c>
      <c r="H20" s="19"/>
      <c r="I20" s="121">
        <f>SUM(I21:I24)</f>
        <v>-647687</v>
      </c>
      <c r="J20" s="121">
        <f>SUM(J21:J24)</f>
        <v>1125311</v>
      </c>
    </row>
    <row r="21" spans="1:10" s="2" customFormat="1" ht="13.5" customHeight="1">
      <c r="A21" s="448" t="s">
        <v>2353</v>
      </c>
      <c r="B21" s="448"/>
      <c r="C21" s="448"/>
      <c r="D21" s="448"/>
      <c r="E21" s="448"/>
      <c r="F21" s="448"/>
      <c r="G21" s="15">
        <v>13</v>
      </c>
      <c r="H21" s="19"/>
      <c r="I21" s="122">
        <v>-645955</v>
      </c>
      <c r="J21" s="122">
        <v>1935783</v>
      </c>
    </row>
    <row r="22" spans="1:10" s="2" customFormat="1" ht="13.5" customHeight="1">
      <c r="A22" s="448" t="s">
        <v>2354</v>
      </c>
      <c r="B22" s="448"/>
      <c r="C22" s="448"/>
      <c r="D22" s="448"/>
      <c r="E22" s="448"/>
      <c r="F22" s="448"/>
      <c r="G22" s="15">
        <v>14</v>
      </c>
      <c r="H22" s="19"/>
      <c r="I22" s="122">
        <v>141894</v>
      </c>
      <c r="J22" s="122">
        <v>-698050</v>
      </c>
    </row>
    <row r="23" spans="1:10" s="2" customFormat="1" ht="13.5" customHeight="1">
      <c r="A23" s="448" t="s">
        <v>2355</v>
      </c>
      <c r="B23" s="448"/>
      <c r="C23" s="448"/>
      <c r="D23" s="448"/>
      <c r="E23" s="448"/>
      <c r="F23" s="448"/>
      <c r="G23" s="15">
        <v>15</v>
      </c>
      <c r="H23" s="19"/>
      <c r="I23" s="122">
        <v>13630</v>
      </c>
      <c r="J23" s="122">
        <v>-105492</v>
      </c>
    </row>
    <row r="24" spans="1:10" s="2" customFormat="1" ht="13.5" customHeight="1">
      <c r="A24" s="448" t="s">
        <v>2356</v>
      </c>
      <c r="B24" s="448"/>
      <c r="C24" s="448"/>
      <c r="D24" s="448"/>
      <c r="E24" s="448"/>
      <c r="F24" s="448"/>
      <c r="G24" s="15">
        <v>16</v>
      </c>
      <c r="H24" s="19"/>
      <c r="I24" s="122">
        <v>-157256</v>
      </c>
      <c r="J24" s="122">
        <v>-6930</v>
      </c>
    </row>
    <row r="25" spans="1:10" s="2" customFormat="1" ht="13.5" customHeight="1">
      <c r="A25" s="411" t="s">
        <v>2936</v>
      </c>
      <c r="B25" s="411"/>
      <c r="C25" s="411"/>
      <c r="D25" s="411"/>
      <c r="E25" s="411"/>
      <c r="F25" s="411"/>
      <c r="G25" s="15">
        <v>17</v>
      </c>
      <c r="H25" s="19"/>
      <c r="I25" s="121">
        <f>I19+I20</f>
        <v>893583</v>
      </c>
      <c r="J25" s="121">
        <f>J19+J20</f>
        <v>4399286</v>
      </c>
    </row>
    <row r="26" spans="1:12" s="2" customFormat="1" ht="13.5" customHeight="1">
      <c r="A26" s="408" t="s">
        <v>1787</v>
      </c>
      <c r="B26" s="408"/>
      <c r="C26" s="408"/>
      <c r="D26" s="408"/>
      <c r="E26" s="408"/>
      <c r="F26" s="408"/>
      <c r="G26" s="15">
        <v>18</v>
      </c>
      <c r="H26" s="19"/>
      <c r="I26" s="122">
        <v>-411751</v>
      </c>
      <c r="J26" s="122">
        <v>-411751</v>
      </c>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481832</v>
      </c>
      <c r="J28" s="123">
        <f>SUM(J25:J27)</f>
        <v>3987535</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v>221285</v>
      </c>
      <c r="J30" s="90">
        <v>21000</v>
      </c>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v>593</v>
      </c>
      <c r="J32" s="73">
        <v>7129</v>
      </c>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221878</v>
      </c>
      <c r="J36" s="82">
        <f>SUM(J30:J35)</f>
        <v>28129</v>
      </c>
      <c r="L36" s="2" t="s">
        <v>2525</v>
      </c>
    </row>
    <row r="37" spans="1:12" s="2" customFormat="1" ht="13.5" customHeight="1">
      <c r="A37" s="408" t="s">
        <v>66</v>
      </c>
      <c r="B37" s="408"/>
      <c r="C37" s="408"/>
      <c r="D37" s="408"/>
      <c r="E37" s="408"/>
      <c r="F37" s="408"/>
      <c r="G37" s="15">
        <v>28</v>
      </c>
      <c r="H37" s="19"/>
      <c r="I37" s="73">
        <v>-1102311</v>
      </c>
      <c r="J37" s="73">
        <v>-2648439</v>
      </c>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-1102311</v>
      </c>
      <c r="J42" s="82">
        <f>SUM(J37:J41)</f>
        <v>-2648439</v>
      </c>
      <c r="L42" s="2" t="s">
        <v>1209</v>
      </c>
    </row>
    <row r="43" spans="1:10" s="2" customFormat="1" ht="13.5" customHeight="1">
      <c r="A43" s="453" t="s">
        <v>2923</v>
      </c>
      <c r="B43" s="453"/>
      <c r="C43" s="453"/>
      <c r="D43" s="453"/>
      <c r="E43" s="453"/>
      <c r="F43" s="453"/>
      <c r="G43" s="17">
        <v>34</v>
      </c>
      <c r="H43" s="20"/>
      <c r="I43" s="83">
        <f>I36+I42</f>
        <v>-880433</v>
      </c>
      <c r="J43" s="83">
        <f>J36+J42</f>
        <v>-2620310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-398601</v>
      </c>
      <c r="J58" s="82">
        <f>J28+J43+J56+J57</f>
        <v>1367225</v>
      </c>
    </row>
    <row r="59" spans="1:12" s="2" customFormat="1" ht="13.5" customHeight="1">
      <c r="A59" s="409" t="s">
        <v>2810</v>
      </c>
      <c r="B59" s="409"/>
      <c r="C59" s="409"/>
      <c r="D59" s="409"/>
      <c r="E59" s="409"/>
      <c r="F59" s="409"/>
      <c r="G59" s="15">
        <v>49</v>
      </c>
      <c r="H59" s="19"/>
      <c r="I59" s="73">
        <v>5848365</v>
      </c>
      <c r="J59" s="73">
        <v>5449764</v>
      </c>
      <c r="L59" s="2" t="s">
        <v>2525</v>
      </c>
    </row>
    <row r="60" spans="1:18" s="2" customFormat="1" ht="13.5" customHeight="1">
      <c r="A60" s="453" t="s">
        <v>2560</v>
      </c>
      <c r="B60" s="453"/>
      <c r="C60" s="453"/>
      <c r="D60" s="453"/>
      <c r="E60" s="453"/>
      <c r="F60" s="453"/>
      <c r="G60" s="17">
        <v>50</v>
      </c>
      <c r="H60" s="20"/>
      <c r="I60" s="83">
        <f>I59+I58</f>
        <v>5449764</v>
      </c>
      <c r="J60" s="83">
        <f>J59+J58</f>
        <v>6816989</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48188420009; Zračna luka Osijek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40:F40"/>
    <mergeCell ref="A46:F46"/>
    <mergeCell ref="A44:F44"/>
    <mergeCell ref="A34:F34"/>
    <mergeCell ref="A54:F54"/>
    <mergeCell ref="A53:F53"/>
    <mergeCell ref="A50:F50"/>
    <mergeCell ref="A48:F48"/>
    <mergeCell ref="A51:F51"/>
    <mergeCell ref="A33:F33"/>
    <mergeCell ref="A41:F41"/>
    <mergeCell ref="A42:F42"/>
    <mergeCell ref="A36:F36"/>
    <mergeCell ref="A49:F49"/>
    <mergeCell ref="A37:F37"/>
    <mergeCell ref="A39:F39"/>
    <mergeCell ref="A38:J38"/>
    <mergeCell ref="A52:F52"/>
    <mergeCell ref="A21:F21"/>
    <mergeCell ref="A45:F45"/>
    <mergeCell ref="A43:F43"/>
    <mergeCell ref="A32:F32"/>
    <mergeCell ref="A35:F35"/>
    <mergeCell ref="A47:F47"/>
    <mergeCell ref="A19:F19"/>
    <mergeCell ref="A30:F30"/>
    <mergeCell ref="A31:F31"/>
    <mergeCell ref="A28:F28"/>
    <mergeCell ref="A29:F29"/>
    <mergeCell ref="A20:F20"/>
    <mergeCell ref="A24:F24"/>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41" activePane="bottomLeft" state="frozen"/>
      <selection pane="topLeft" activeCell="A1" sqref="A1"/>
      <selection pane="bottomLeft" activeCell="W44" sqref="W44"/>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1</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1</v>
      </c>
      <c r="AD2" s="3" t="s">
        <v>1216</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1</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48188420009; Zračna luka Osijek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1</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v>26208000</v>
      </c>
      <c r="J10" s="21"/>
      <c r="K10" s="21"/>
      <c r="L10" s="21"/>
      <c r="M10" s="21"/>
      <c r="N10" s="21"/>
      <c r="O10" s="21"/>
      <c r="P10" s="21"/>
      <c r="Q10" s="21"/>
      <c r="R10" s="21"/>
      <c r="S10" s="21"/>
      <c r="T10" s="21"/>
      <c r="U10" s="21"/>
      <c r="V10" s="21">
        <v>-11650871</v>
      </c>
      <c r="W10" s="21"/>
      <c r="X10" s="202">
        <f>SUM(I10:L10)-M10+SUM(N10:W10)</f>
        <v>14557129</v>
      </c>
      <c r="Y10" s="21"/>
      <c r="Z10" s="202">
        <f>Y10+X10</f>
        <v>14557129</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26208000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-11650871</v>
      </c>
      <c r="W13" s="202">
        <f t="shared" si="2"/>
        <v>0</v>
      </c>
      <c r="X13" s="202">
        <f t="shared" si="0"/>
        <v>14557129</v>
      </c>
      <c r="Y13" s="202">
        <f>SUM(Y10:Y12)</f>
        <v>0</v>
      </c>
      <c r="Z13" s="202">
        <f t="shared" si="1"/>
        <v>14557129</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v>-1040702</v>
      </c>
      <c r="X14" s="202">
        <f t="shared" si="0"/>
        <v>-1040702</v>
      </c>
      <c r="Y14" s="21"/>
      <c r="Z14" s="202">
        <f t="shared" si="1"/>
        <v>-1040702</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26208000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-11650871</v>
      </c>
      <c r="W33" s="201">
        <f t="shared" si="3"/>
        <v>-1040702</v>
      </c>
      <c r="X33" s="201">
        <f t="shared" si="0"/>
        <v>13516427</v>
      </c>
      <c r="Y33" s="201">
        <f>SUM(Y13:Y32)</f>
        <v>0</v>
      </c>
      <c r="Z33" s="201">
        <f t="shared" si="1"/>
        <v>13516427</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-1040702</v>
      </c>
      <c r="X36" s="202">
        <f t="shared" si="7"/>
        <v>-1040702</v>
      </c>
      <c r="Y36" s="202">
        <f t="shared" si="7"/>
        <v>0</v>
      </c>
      <c r="Z36" s="202">
        <f t="shared" si="7"/>
        <v>-1040702</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v>26208000</v>
      </c>
      <c r="J39" s="21"/>
      <c r="K39" s="21"/>
      <c r="L39" s="21"/>
      <c r="M39" s="21"/>
      <c r="N39" s="21"/>
      <c r="O39" s="21"/>
      <c r="P39" s="21"/>
      <c r="Q39" s="21"/>
      <c r="R39" s="21"/>
      <c r="S39" s="21"/>
      <c r="T39" s="21"/>
      <c r="U39" s="21"/>
      <c r="V39" s="21">
        <v>-12691573</v>
      </c>
      <c r="W39" s="21"/>
      <c r="X39" s="202">
        <f aca="true" t="shared" si="10" ref="X39:X62">SUM(I39:L39)-M39+SUM(N39:W39)</f>
        <v>13516427</v>
      </c>
      <c r="Y39" s="21"/>
      <c r="Z39" s="202">
        <f t="shared" si="1"/>
        <v>13516427</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26208000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-12691573</v>
      </c>
      <c r="W42" s="202">
        <f t="shared" si="11"/>
        <v>0</v>
      </c>
      <c r="X42" s="202">
        <f t="shared" si="10"/>
        <v>13516427</v>
      </c>
      <c r="Y42" s="202">
        <f>SUM(Y39:Y41)</f>
        <v>0</v>
      </c>
      <c r="Z42" s="202">
        <f>Y42+X42</f>
        <v>13516427</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v>712739</v>
      </c>
      <c r="X43" s="202">
        <f t="shared" si="10"/>
        <v>712739</v>
      </c>
      <c r="Y43" s="21"/>
      <c r="Z43" s="202">
        <f t="shared" si="1"/>
        <v>712739</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26208000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-12691573</v>
      </c>
      <c r="W62" s="201">
        <f t="shared" si="12"/>
        <v>712739</v>
      </c>
      <c r="X62" s="201">
        <f t="shared" si="10"/>
        <v>14229166</v>
      </c>
      <c r="Y62" s="201">
        <f>SUM(Y42:Y61)</f>
        <v>0</v>
      </c>
      <c r="Z62" s="201">
        <f t="shared" si="1"/>
        <v>14229166</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712739</v>
      </c>
      <c r="X65" s="202">
        <f t="shared" si="16"/>
        <v>712739</v>
      </c>
      <c r="Y65" s="202">
        <f t="shared" si="16"/>
        <v>0</v>
      </c>
      <c r="Z65" s="202">
        <f t="shared" si="16"/>
        <v>712739</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Ivona Loncarevic</cp:lastModifiedBy>
  <cp:lastPrinted>2022-06-30T09:07:35Z</cp:lastPrinted>
  <dcterms:created xsi:type="dcterms:W3CDTF">2008-10-17T11:51:54Z</dcterms:created>
  <dcterms:modified xsi:type="dcterms:W3CDTF">2022-06-30T12:33:24Z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